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9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0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Proyectos Aura\VTA\DOCS\"/>
    </mc:Choice>
  </mc:AlternateContent>
  <xr:revisionPtr revIDLastSave="0" documentId="13_ncr:1_{526F5D1D-DF09-4392-92D6-85751000B0FE}" xr6:coauthVersionLast="47" xr6:coauthVersionMax="47" xr10:uidLastSave="{00000000-0000-0000-0000-000000000000}"/>
  <bookViews>
    <workbookView xWindow="-110" yWindow="-110" windowWidth="19420" windowHeight="11500" firstSheet="56" activeTab="61" xr2:uid="{58AE5EC5-41BB-46B6-8E24-24FAC99469C7}"/>
  </bookViews>
  <sheets>
    <sheet name="Reporte Diario" sheetId="3" r:id="rId1"/>
    <sheet name="01-07 A" sheetId="5" r:id="rId2"/>
    <sheet name="01-07 B" sheetId="6" r:id="rId3"/>
    <sheet name="02-07A" sheetId="9" r:id="rId4"/>
    <sheet name="02-07B" sheetId="10" r:id="rId5"/>
    <sheet name="03-07A" sheetId="11" r:id="rId6"/>
    <sheet name="03-07B" sheetId="12" r:id="rId7"/>
    <sheet name="04-07A" sheetId="13" r:id="rId8"/>
    <sheet name="04-07B" sheetId="14" r:id="rId9"/>
    <sheet name="05-07A" sheetId="15" r:id="rId10"/>
    <sheet name="05-07B" sheetId="16" r:id="rId11"/>
    <sheet name="06-07A" sheetId="17" r:id="rId12"/>
    <sheet name="06-07B" sheetId="18" r:id="rId13"/>
    <sheet name="07-07A" sheetId="19" r:id="rId14"/>
    <sheet name="07-07B" sheetId="20" r:id="rId15"/>
    <sheet name="08-07A" sheetId="21" r:id="rId16"/>
    <sheet name="08-07B" sheetId="22" r:id="rId17"/>
    <sheet name="09-07A" sheetId="23" r:id="rId18"/>
    <sheet name="09-07B" sheetId="24" r:id="rId19"/>
    <sheet name="10-07A" sheetId="25" r:id="rId20"/>
    <sheet name="10-07B" sheetId="26" r:id="rId21"/>
    <sheet name="11-07A" sheetId="27" r:id="rId22"/>
    <sheet name="11-07B" sheetId="28" r:id="rId23"/>
    <sheet name="12-07A" sheetId="29" r:id="rId24"/>
    <sheet name="12-07B" sheetId="30" r:id="rId25"/>
    <sheet name="13-07A" sheetId="31" r:id="rId26"/>
    <sheet name="13-07B" sheetId="32" r:id="rId27"/>
    <sheet name="14-07A" sheetId="33" r:id="rId28"/>
    <sheet name="14-07B" sheetId="34" r:id="rId29"/>
    <sheet name="15-07A" sheetId="35" r:id="rId30"/>
    <sheet name="15-07B" sheetId="36" r:id="rId31"/>
    <sheet name="16-07A" sheetId="37" r:id="rId32"/>
    <sheet name="16-07B" sheetId="38" r:id="rId33"/>
    <sheet name="17-07A" sheetId="39" r:id="rId34"/>
    <sheet name="17-07B" sheetId="40" r:id="rId35"/>
    <sheet name="18-07A" sheetId="41" r:id="rId36"/>
    <sheet name="18-07B" sheetId="42" r:id="rId37"/>
    <sheet name="19-07A" sheetId="43" r:id="rId38"/>
    <sheet name="19-07B" sheetId="44" r:id="rId39"/>
    <sheet name="20-07A" sheetId="45" r:id="rId40"/>
    <sheet name="20-07B" sheetId="46" r:id="rId41"/>
    <sheet name="21-07A" sheetId="47" r:id="rId42"/>
    <sheet name="21-07B" sheetId="48" r:id="rId43"/>
    <sheet name="22-07A" sheetId="49" r:id="rId44"/>
    <sheet name="22-07B " sheetId="50" r:id="rId45"/>
    <sheet name="23-07A " sheetId="51" r:id="rId46"/>
    <sheet name="23-07B" sheetId="52" r:id="rId47"/>
    <sheet name="24-07A" sheetId="53" r:id="rId48"/>
    <sheet name="24-07B" sheetId="54" r:id="rId49"/>
    <sheet name="25-07A" sheetId="56" r:id="rId50"/>
    <sheet name="25-07B" sheetId="57" r:id="rId51"/>
    <sheet name="26-07A" sheetId="58" r:id="rId52"/>
    <sheet name="26-07B" sheetId="59" r:id="rId53"/>
    <sheet name="27-07A" sheetId="60" r:id="rId54"/>
    <sheet name="27-07B " sheetId="61" r:id="rId55"/>
    <sheet name="28-07A" sheetId="62" r:id="rId56"/>
    <sheet name="28-07B" sheetId="63" r:id="rId57"/>
    <sheet name="29-07A" sheetId="65" r:id="rId58"/>
    <sheet name="29-07B" sheetId="66" r:id="rId59"/>
    <sheet name="30-07A" sheetId="67" r:id="rId60"/>
    <sheet name="30-07B " sheetId="68" r:id="rId61"/>
    <sheet name="Venta" sheetId="8" r:id="rId62"/>
    <sheet name="Analisis Venta por Paralización" sheetId="55" r:id="rId63"/>
    <sheet name="Datos" sheetId="4" r:id="rId64"/>
    <sheet name="Det. limpieza nieve." sheetId="64" r:id="rId65"/>
    <sheet name="Descripción Alertas" sheetId="69" r:id="rId66"/>
  </sheets>
  <definedNames>
    <definedName name="_xlnm._FilterDatabase" localSheetId="1" hidden="1">'01-07 A'!#REF!</definedName>
    <definedName name="_xlnm._FilterDatabase" localSheetId="2" hidden="1">'01-07 B'!#REF!</definedName>
    <definedName name="_xlnm._FilterDatabase" localSheetId="3" hidden="1">'02-07A'!#REF!</definedName>
    <definedName name="_xlnm._FilterDatabase" localSheetId="4" hidden="1">'02-07B'!#REF!</definedName>
    <definedName name="_xlnm._FilterDatabase" localSheetId="5" hidden="1">'03-07A'!#REF!</definedName>
    <definedName name="_xlnm._FilterDatabase" localSheetId="6" hidden="1">'03-07B'!#REF!</definedName>
    <definedName name="_xlnm._FilterDatabase" localSheetId="7" hidden="1">'04-07A'!#REF!</definedName>
    <definedName name="_xlnm._FilterDatabase" localSheetId="8" hidden="1">'04-07B'!#REF!</definedName>
    <definedName name="_xlnm._FilterDatabase" localSheetId="9" hidden="1">'05-07A'!#REF!</definedName>
    <definedName name="_xlnm._FilterDatabase" localSheetId="10" hidden="1">'05-07B'!#REF!</definedName>
    <definedName name="_xlnm._FilterDatabase" localSheetId="11" hidden="1">'06-07A'!#REF!</definedName>
    <definedName name="_xlnm._FilterDatabase" localSheetId="12" hidden="1">'06-07B'!#REF!</definedName>
    <definedName name="_xlnm._FilterDatabase" localSheetId="13" hidden="1">'07-07A'!#REF!</definedName>
    <definedName name="_xlnm._FilterDatabase" localSheetId="14" hidden="1">'07-07B'!#REF!</definedName>
    <definedName name="_xlnm._FilterDatabase" localSheetId="15" hidden="1">'08-07A'!#REF!</definedName>
    <definedName name="_xlnm._FilterDatabase" localSheetId="16" hidden="1">'08-07B'!#REF!</definedName>
    <definedName name="_xlnm._FilterDatabase" localSheetId="17" hidden="1">'09-07A'!#REF!</definedName>
    <definedName name="_xlnm._FilterDatabase" localSheetId="18" hidden="1">'09-07B'!#REF!</definedName>
    <definedName name="_xlnm._FilterDatabase" localSheetId="19" hidden="1">'10-07A'!#REF!</definedName>
    <definedName name="_xlnm._FilterDatabase" localSheetId="20" hidden="1">'10-07B'!#REF!</definedName>
    <definedName name="_xlnm._FilterDatabase" localSheetId="21" hidden="1">'11-07A'!#REF!</definedName>
    <definedName name="_xlnm._FilterDatabase" localSheetId="22" hidden="1">'11-07B'!#REF!</definedName>
    <definedName name="_xlnm._FilterDatabase" localSheetId="23" hidden="1">'12-07A'!#REF!</definedName>
    <definedName name="_xlnm._FilterDatabase" localSheetId="24" hidden="1">'12-07B'!#REF!</definedName>
    <definedName name="_xlnm._FilterDatabase" localSheetId="25" hidden="1">'13-07A'!#REF!</definedName>
    <definedName name="_xlnm._FilterDatabase" localSheetId="26" hidden="1">'13-07B'!#REF!</definedName>
    <definedName name="_xlnm._FilterDatabase" localSheetId="27" hidden="1">'14-07A'!#REF!</definedName>
    <definedName name="_xlnm._FilterDatabase" localSheetId="28" hidden="1">'14-07B'!#REF!</definedName>
    <definedName name="_xlnm._FilterDatabase" localSheetId="29" hidden="1">'15-07A'!#REF!</definedName>
    <definedName name="_xlnm._FilterDatabase" localSheetId="30" hidden="1">'15-07B'!#REF!</definedName>
    <definedName name="_xlnm._FilterDatabase" localSheetId="31" hidden="1">'16-07A'!#REF!</definedName>
    <definedName name="_xlnm._FilterDatabase" localSheetId="32" hidden="1">'16-07B'!#REF!</definedName>
    <definedName name="_xlnm._FilterDatabase" localSheetId="33" hidden="1">'17-07A'!#REF!</definedName>
    <definedName name="_xlnm._FilterDatabase" localSheetId="34" hidden="1">'17-07B'!#REF!</definedName>
    <definedName name="_xlnm._FilterDatabase" localSheetId="35" hidden="1">'18-07A'!#REF!</definedName>
    <definedName name="_xlnm._FilterDatabase" localSheetId="36" hidden="1">'18-07B'!#REF!</definedName>
    <definedName name="_xlnm._FilterDatabase" localSheetId="37" hidden="1">'19-07A'!#REF!</definedName>
    <definedName name="_xlnm._FilterDatabase" localSheetId="38" hidden="1">'19-07B'!#REF!</definedName>
    <definedName name="_xlnm._FilterDatabase" localSheetId="39" hidden="1">'20-07A'!#REF!</definedName>
    <definedName name="_xlnm._FilterDatabase" localSheetId="40" hidden="1">'20-07B'!#REF!</definedName>
    <definedName name="_xlnm._FilterDatabase" localSheetId="41" hidden="1">'21-07A'!#REF!</definedName>
    <definedName name="_xlnm._FilterDatabase" localSheetId="42" hidden="1">'21-07B'!#REF!</definedName>
    <definedName name="_xlnm._FilterDatabase" localSheetId="43" hidden="1">'22-07A'!#REF!</definedName>
    <definedName name="_xlnm._FilterDatabase" localSheetId="44" hidden="1">'22-07B '!#REF!</definedName>
    <definedName name="_xlnm._FilterDatabase" localSheetId="45" hidden="1">'23-07A '!#REF!</definedName>
    <definedName name="_xlnm._FilterDatabase" localSheetId="46" hidden="1">'23-07B'!#REF!</definedName>
    <definedName name="_xlnm._FilterDatabase" localSheetId="47" hidden="1">'24-07A'!#REF!</definedName>
    <definedName name="_xlnm._FilterDatabase" localSheetId="48" hidden="1">'24-07B'!#REF!</definedName>
    <definedName name="_xlnm._FilterDatabase" localSheetId="49" hidden="1">'25-07A'!#REF!</definedName>
    <definedName name="_xlnm._FilterDatabase" localSheetId="50" hidden="1">'25-07B'!#REF!</definedName>
    <definedName name="_xlnm._FilterDatabase" localSheetId="51" hidden="1">'26-07A'!#REF!</definedName>
    <definedName name="_xlnm._FilterDatabase" localSheetId="52" hidden="1">'26-07B'!#REF!</definedName>
    <definedName name="_xlnm._FilterDatabase" localSheetId="53" hidden="1">'27-07A'!#REF!</definedName>
    <definedName name="_xlnm._FilterDatabase" localSheetId="54" hidden="1">'27-07B '!#REF!</definedName>
    <definedName name="_xlnm._FilterDatabase" localSheetId="55" hidden="1">'28-07A'!#REF!</definedName>
    <definedName name="_xlnm._FilterDatabase" localSheetId="56" hidden="1">'28-07B'!#REF!</definedName>
    <definedName name="_xlnm._FilterDatabase" localSheetId="57" hidden="1">'29-07A'!#REF!</definedName>
    <definedName name="_xlnm._FilterDatabase" localSheetId="58" hidden="1">'29-07B'!#REF!</definedName>
    <definedName name="_xlnm._FilterDatabase" localSheetId="59" hidden="1">'30-07A'!#REF!</definedName>
    <definedName name="_xlnm._FilterDatabase" localSheetId="60" hidden="1">'30-07B '!#REF!</definedName>
    <definedName name="_xlnm._FilterDatabase" localSheetId="0" hidden="1">'Reporte Diario'!#REF!</definedName>
    <definedName name="_xlnm.Print_Area" localSheetId="1">'01-07 A'!$B$1:$S$33</definedName>
    <definedName name="_xlnm.Print_Area" localSheetId="2">'01-07 B'!$B$1:$S$29</definedName>
    <definedName name="_xlnm.Print_Area" localSheetId="3">'02-07A'!$B$1:$S$33</definedName>
    <definedName name="_xlnm.Print_Area" localSheetId="4">'02-07B'!$B$1:$S$33</definedName>
    <definedName name="_xlnm.Print_Area" localSheetId="5">'03-07A'!$B$1:$S$33</definedName>
    <definedName name="_xlnm.Print_Area" localSheetId="6">'03-07B'!$B$1:$S$33</definedName>
    <definedName name="_xlnm.Print_Area" localSheetId="7">'04-07A'!$B$1:$S$33</definedName>
    <definedName name="_xlnm.Print_Area" localSheetId="8">'04-07B'!$B$1:$S$33</definedName>
    <definedName name="_xlnm.Print_Area" localSheetId="9">'05-07A'!$B$1:$S$33</definedName>
    <definedName name="_xlnm.Print_Area" localSheetId="10">'05-07B'!$B$1:$S$33</definedName>
    <definedName name="_xlnm.Print_Area" localSheetId="11">'06-07A'!$B$1:$S$33</definedName>
    <definedName name="_xlnm.Print_Area" localSheetId="12">'06-07B'!$B$1:$S$33</definedName>
    <definedName name="_xlnm.Print_Area" localSheetId="13">'07-07A'!$B$1:$S$33</definedName>
    <definedName name="_xlnm.Print_Area" localSheetId="14">'07-07B'!$B$1:$S$33</definedName>
    <definedName name="_xlnm.Print_Area" localSheetId="15">'08-07A'!$B$1:$S$35</definedName>
    <definedName name="_xlnm.Print_Area" localSheetId="16">'08-07B'!$B$1:$S$36</definedName>
    <definedName name="_xlnm.Print_Area" localSheetId="17">'09-07A'!$B$1:$S$34</definedName>
    <definedName name="_xlnm.Print_Area" localSheetId="18">'09-07B'!$B$1:$S$34</definedName>
    <definedName name="_xlnm.Print_Area" localSheetId="19">'10-07A'!$B$1:$S$34</definedName>
    <definedName name="_xlnm.Print_Area" localSheetId="20">'10-07B'!$B$1:$S$34</definedName>
    <definedName name="_xlnm.Print_Area" localSheetId="21">'11-07A'!$B$1:$S$35</definedName>
    <definedName name="_xlnm.Print_Area" localSheetId="22">'11-07B'!$B$1:$S$35</definedName>
    <definedName name="_xlnm.Print_Area" localSheetId="23">'12-07A'!$B$1:$S$35</definedName>
    <definedName name="_xlnm.Print_Area" localSheetId="24">'12-07B'!$B$1:$S$36</definedName>
    <definedName name="_xlnm.Print_Area" localSheetId="25">'13-07A'!$B$1:$S$35</definedName>
    <definedName name="_xlnm.Print_Area" localSheetId="26">'13-07B'!$B$1:$S$36</definedName>
    <definedName name="_xlnm.Print_Area" localSheetId="27">'14-07A'!$B$1:$S$35</definedName>
    <definedName name="_xlnm.Print_Area" localSheetId="28">'14-07B'!$B$1:$S$35</definedName>
    <definedName name="_xlnm.Print_Area" localSheetId="29">'15-07A'!$B$1:$S$35</definedName>
    <definedName name="_xlnm.Print_Area" localSheetId="30">'15-07B'!$B$1:$S$35</definedName>
    <definedName name="_xlnm.Print_Area" localSheetId="31">'16-07A'!$B$1:$S$38</definedName>
    <definedName name="_xlnm.Print_Area" localSheetId="32">'16-07B'!$B$1:$S$38</definedName>
    <definedName name="_xlnm.Print_Area" localSheetId="33">'17-07A'!$B$1:$S$38</definedName>
    <definedName name="_xlnm.Print_Area" localSheetId="34">'17-07B'!$B$1:$S$38</definedName>
    <definedName name="_xlnm.Print_Area" localSheetId="35">'18-07A'!$B$1:$S$39</definedName>
    <definedName name="_xlnm.Print_Area" localSheetId="36">'18-07B'!$B$1:$S$38</definedName>
    <definedName name="_xlnm.Print_Area" localSheetId="37">'19-07A'!$B$1:$S$39</definedName>
    <definedName name="_xlnm.Print_Area" localSheetId="38">'19-07B'!$B$1:$S$35</definedName>
    <definedName name="_xlnm.Print_Area" localSheetId="39">'20-07A'!$B$1:$S$34</definedName>
    <definedName name="_xlnm.Print_Area" localSheetId="40">'20-07B'!$B$1:$S$34</definedName>
    <definedName name="_xlnm.Print_Area" localSheetId="41">'21-07A'!$B$1:$S$34</definedName>
    <definedName name="_xlnm.Print_Area" localSheetId="42">'21-07B'!$B$1:$S$34</definedName>
    <definedName name="_xlnm.Print_Area" localSheetId="43">'22-07A'!$B$1:$S$34</definedName>
    <definedName name="_xlnm.Print_Area" localSheetId="44">'22-07B '!$B$1:$S$32</definedName>
    <definedName name="_xlnm.Print_Area" localSheetId="45">'23-07A '!$B$1:$S$35</definedName>
    <definedName name="_xlnm.Print_Area" localSheetId="46">'23-07B'!$B$1:$S$33</definedName>
    <definedName name="_xlnm.Print_Area" localSheetId="47">'24-07A'!$B$1:$S$35</definedName>
    <definedName name="_xlnm.Print_Area" localSheetId="48">'24-07B'!$B$1:$S$33</definedName>
    <definedName name="_xlnm.Print_Area" localSheetId="49">'25-07A'!$B$1:$S$35</definedName>
    <definedName name="_xlnm.Print_Area" localSheetId="50">'25-07B'!$B$1:$S$33</definedName>
    <definedName name="_xlnm.Print_Area" localSheetId="51">'26-07A'!$B$1:$S$35</definedName>
    <definedName name="_xlnm.Print_Area" localSheetId="52">'26-07B'!$B$1:$S$33</definedName>
    <definedName name="_xlnm.Print_Area" localSheetId="53">'27-07A'!$B$1:$S$35</definedName>
    <definedName name="_xlnm.Print_Area" localSheetId="54">'27-07B '!$B$1:$S$33</definedName>
    <definedName name="_xlnm.Print_Area" localSheetId="55">'28-07A'!$B$1:$S$35</definedName>
    <definedName name="_xlnm.Print_Area" localSheetId="56">'28-07B'!$B$1:$S$34</definedName>
    <definedName name="_xlnm.Print_Area" localSheetId="57">'29-07A'!$B$1:$S$36</definedName>
    <definedName name="_xlnm.Print_Area" localSheetId="58">'29-07B'!$B$1:$S$34</definedName>
    <definedName name="_xlnm.Print_Area" localSheetId="59">'30-07A'!$B$1:$S$37</definedName>
    <definedName name="_xlnm.Print_Area" localSheetId="60">'30-07B '!$B$1:$S$34</definedName>
    <definedName name="_xlnm.Print_Area" localSheetId="65">'Descripción Alertas'!$A$1:$J$33</definedName>
    <definedName name="_xlnm.Print_Area" localSheetId="0">'Reporte Diario'!$B$1:$S$43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67" l="1"/>
  <c r="O61" i="8" s="1"/>
  <c r="C34" i="55"/>
  <c r="E34" i="55"/>
  <c r="J55" i="68"/>
  <c r="I55" i="68"/>
  <c r="I56" i="68" s="1"/>
  <c r="C24" i="68"/>
  <c r="C23" i="68"/>
  <c r="C22" i="68"/>
  <c r="C21" i="68"/>
  <c r="C26" i="67"/>
  <c r="C25" i="67"/>
  <c r="C24" i="67"/>
  <c r="U26" i="67"/>
  <c r="J26" i="67"/>
  <c r="H25" i="64"/>
  <c r="P62" i="8"/>
  <c r="P61" i="8"/>
  <c r="G95" i="68"/>
  <c r="H95" i="68" s="1"/>
  <c r="G94" i="68"/>
  <c r="H94" i="68" s="1"/>
  <c r="G93" i="68"/>
  <c r="D89" i="68"/>
  <c r="G85" i="68"/>
  <c r="G84" i="68"/>
  <c r="G83" i="68"/>
  <c r="G82" i="68"/>
  <c r="G81" i="68"/>
  <c r="G80" i="68"/>
  <c r="G77" i="68"/>
  <c r="H77" i="68" s="1"/>
  <c r="G76" i="68"/>
  <c r="D75" i="68"/>
  <c r="G71" i="68"/>
  <c r="G70" i="68"/>
  <c r="G69" i="68"/>
  <c r="G68" i="68"/>
  <c r="G67" i="68"/>
  <c r="G66" i="68"/>
  <c r="G63" i="68"/>
  <c r="H63" i="68" s="1"/>
  <c r="G62" i="68"/>
  <c r="D61" i="68"/>
  <c r="K54" i="68"/>
  <c r="M54" i="68" s="1"/>
  <c r="J50" i="68"/>
  <c r="I50" i="68"/>
  <c r="K49" i="68"/>
  <c r="J49" i="68"/>
  <c r="I49" i="68"/>
  <c r="M48" i="68"/>
  <c r="J48" i="68"/>
  <c r="I48" i="68"/>
  <c r="M47" i="68"/>
  <c r="I47" i="68"/>
  <c r="K46" i="68"/>
  <c r="M46" i="68" s="1"/>
  <c r="J46" i="68"/>
  <c r="J54" i="68" s="1"/>
  <c r="I54" i="68" s="1"/>
  <c r="I46" i="68"/>
  <c r="L42" i="68"/>
  <c r="J42" i="68"/>
  <c r="H42" i="68"/>
  <c r="D41" i="68"/>
  <c r="K40" i="68"/>
  <c r="D40" i="68"/>
  <c r="X37" i="68"/>
  <c r="W37" i="68"/>
  <c r="V37" i="68"/>
  <c r="S37" i="68"/>
  <c r="X36" i="68"/>
  <c r="W36" i="68"/>
  <c r="V36" i="68"/>
  <c r="S36" i="68"/>
  <c r="J36" i="68"/>
  <c r="X35" i="68"/>
  <c r="W35" i="68"/>
  <c r="V35" i="68"/>
  <c r="S35" i="68"/>
  <c r="J35" i="68"/>
  <c r="X34" i="68"/>
  <c r="W34" i="68"/>
  <c r="V34" i="68"/>
  <c r="U34" i="68"/>
  <c r="S34" i="68"/>
  <c r="J34" i="68"/>
  <c r="X33" i="68"/>
  <c r="W33" i="68"/>
  <c r="V33" i="68"/>
  <c r="U33" i="68"/>
  <c r="W32" i="68"/>
  <c r="V32" i="68"/>
  <c r="U32" i="68"/>
  <c r="X31" i="68"/>
  <c r="W31" i="68"/>
  <c r="V31" i="68"/>
  <c r="U31" i="68"/>
  <c r="X30" i="68"/>
  <c r="W30" i="68"/>
  <c r="V30" i="68"/>
  <c r="U30" i="68"/>
  <c r="C30" i="68"/>
  <c r="C32" i="68" s="1"/>
  <c r="X29" i="68"/>
  <c r="W29" i="68"/>
  <c r="V29" i="68"/>
  <c r="U29" i="68"/>
  <c r="U37" i="68" s="1"/>
  <c r="H45" i="68" s="1"/>
  <c r="J29" i="68"/>
  <c r="I41" i="68" s="1"/>
  <c r="J41" i="68" s="1"/>
  <c r="C29" i="68"/>
  <c r="C31" i="68" s="1"/>
  <c r="C33" i="68" s="1"/>
  <c r="X26" i="68"/>
  <c r="W26" i="68"/>
  <c r="V26" i="68"/>
  <c r="S26" i="68"/>
  <c r="J26" i="68"/>
  <c r="O62" i="8" s="1"/>
  <c r="X25" i="68"/>
  <c r="W25" i="68"/>
  <c r="V25" i="68"/>
  <c r="U25" i="68"/>
  <c r="S25" i="68"/>
  <c r="X24" i="68"/>
  <c r="W24" i="68"/>
  <c r="V24" i="68"/>
  <c r="U24" i="68"/>
  <c r="S24" i="68"/>
  <c r="J24" i="68"/>
  <c r="X23" i="68"/>
  <c r="W23" i="68"/>
  <c r="V23" i="68"/>
  <c r="U23" i="68"/>
  <c r="S23" i="68"/>
  <c r="J23" i="68"/>
  <c r="X22" i="68"/>
  <c r="W22" i="68"/>
  <c r="V22" i="68"/>
  <c r="U22" i="68"/>
  <c r="S22" i="68"/>
  <c r="J22" i="68"/>
  <c r="X21" i="68"/>
  <c r="W21" i="68"/>
  <c r="V21" i="68"/>
  <c r="U21" i="68"/>
  <c r="U26" i="68" s="1"/>
  <c r="H53" i="68" s="1"/>
  <c r="S21" i="68"/>
  <c r="J21" i="68"/>
  <c r="G41" i="68" s="1"/>
  <c r="D18" i="68"/>
  <c r="D17" i="68"/>
  <c r="D16" i="68"/>
  <c r="D15" i="68"/>
  <c r="M12" i="68" s="1"/>
  <c r="M11" i="68"/>
  <c r="M7" i="68"/>
  <c r="G98" i="67"/>
  <c r="H98" i="67" s="1"/>
  <c r="G97" i="67"/>
  <c r="H97" i="67" s="1"/>
  <c r="G96" i="67"/>
  <c r="D92" i="67"/>
  <c r="G88" i="67"/>
  <c r="G87" i="67"/>
  <c r="G86" i="67"/>
  <c r="G85" i="67"/>
  <c r="G84" i="67"/>
  <c r="H84" i="67" s="1"/>
  <c r="G83" i="67"/>
  <c r="G80" i="67"/>
  <c r="H80" i="67" s="1"/>
  <c r="G79" i="67"/>
  <c r="D78" i="67"/>
  <c r="G74" i="67"/>
  <c r="G73" i="67"/>
  <c r="G72" i="67"/>
  <c r="G71" i="67"/>
  <c r="G70" i="67"/>
  <c r="G69" i="67"/>
  <c r="G66" i="67"/>
  <c r="H66" i="67" s="1"/>
  <c r="G65" i="67"/>
  <c r="D64" i="67"/>
  <c r="J58" i="67"/>
  <c r="I58" i="67"/>
  <c r="K57" i="67"/>
  <c r="M57" i="67" s="1"/>
  <c r="J53" i="67"/>
  <c r="I53" i="67"/>
  <c r="K52" i="67"/>
  <c r="J52" i="67"/>
  <c r="I52" i="67"/>
  <c r="M51" i="67"/>
  <c r="J51" i="67"/>
  <c r="I51" i="67"/>
  <c r="M50" i="67"/>
  <c r="I50" i="67"/>
  <c r="K49" i="67"/>
  <c r="M49" i="67" s="1"/>
  <c r="J49" i="67"/>
  <c r="J57" i="67" s="1"/>
  <c r="I49" i="67"/>
  <c r="L45" i="67"/>
  <c r="J45" i="67"/>
  <c r="H45" i="67"/>
  <c r="D44" i="67"/>
  <c r="K43" i="67"/>
  <c r="D43" i="67"/>
  <c r="X40" i="67"/>
  <c r="W40" i="67"/>
  <c r="V40" i="67"/>
  <c r="S40" i="67"/>
  <c r="X39" i="67"/>
  <c r="W39" i="67"/>
  <c r="V39" i="67"/>
  <c r="S39" i="67"/>
  <c r="J39" i="67"/>
  <c r="X38" i="67"/>
  <c r="W38" i="67"/>
  <c r="V38" i="67"/>
  <c r="S38" i="67"/>
  <c r="J38" i="67"/>
  <c r="X37" i="67"/>
  <c r="W37" i="67"/>
  <c r="V37" i="67"/>
  <c r="U37" i="67"/>
  <c r="S37" i="67"/>
  <c r="J37" i="67"/>
  <c r="X36" i="67"/>
  <c r="W36" i="67"/>
  <c r="V36" i="67"/>
  <c r="U36" i="67"/>
  <c r="C36" i="67"/>
  <c r="W35" i="67"/>
  <c r="V35" i="67"/>
  <c r="U35" i="67"/>
  <c r="X34" i="67"/>
  <c r="W34" i="67"/>
  <c r="V34" i="67"/>
  <c r="U34" i="67"/>
  <c r="X33" i="67"/>
  <c r="W33" i="67"/>
  <c r="V33" i="67"/>
  <c r="U33" i="67"/>
  <c r="C33" i="67"/>
  <c r="X32" i="67"/>
  <c r="W32" i="67"/>
  <c r="V32" i="67"/>
  <c r="U32" i="67"/>
  <c r="J32" i="67"/>
  <c r="I44" i="67" s="1"/>
  <c r="J44" i="67" s="1"/>
  <c r="C32" i="67"/>
  <c r="C34" i="67" s="1"/>
  <c r="X29" i="67"/>
  <c r="W29" i="67"/>
  <c r="V29" i="67"/>
  <c r="S29" i="67"/>
  <c r="X28" i="67"/>
  <c r="W28" i="67"/>
  <c r="V28" i="67"/>
  <c r="U27" i="67"/>
  <c r="U25" i="67"/>
  <c r="J25" i="67"/>
  <c r="U24" i="67"/>
  <c r="J24" i="67"/>
  <c r="X23" i="67"/>
  <c r="W23" i="67"/>
  <c r="V23" i="67"/>
  <c r="U23" i="67"/>
  <c r="S23" i="67"/>
  <c r="J23" i="67"/>
  <c r="C23" i="67"/>
  <c r="X22" i="67"/>
  <c r="W22" i="67"/>
  <c r="V22" i="67"/>
  <c r="U22" i="67"/>
  <c r="S22" i="67"/>
  <c r="J22" i="67"/>
  <c r="C22" i="67"/>
  <c r="X21" i="67"/>
  <c r="W21" i="67"/>
  <c r="V21" i="67"/>
  <c r="U21" i="67"/>
  <c r="S21" i="67"/>
  <c r="J21" i="67"/>
  <c r="C21" i="67"/>
  <c r="D18" i="67"/>
  <c r="D17" i="67"/>
  <c r="D16" i="67"/>
  <c r="D15" i="67"/>
  <c r="M12" i="67"/>
  <c r="M11" i="67"/>
  <c r="M7" i="67"/>
  <c r="K57" i="65"/>
  <c r="K56" i="62"/>
  <c r="U25" i="65"/>
  <c r="J25" i="65"/>
  <c r="F24" i="64"/>
  <c r="G24" i="64" s="1"/>
  <c r="H24" i="64" s="1"/>
  <c r="P48" i="8"/>
  <c r="AF67" i="8"/>
  <c r="AB66" i="8"/>
  <c r="AA66" i="8"/>
  <c r="AB65" i="8"/>
  <c r="AA65" i="8"/>
  <c r="AB64" i="8"/>
  <c r="AA64" i="8"/>
  <c r="AB63" i="8"/>
  <c r="AA63" i="8"/>
  <c r="AB62" i="8"/>
  <c r="AA62" i="8"/>
  <c r="AB60" i="8"/>
  <c r="F23" i="64"/>
  <c r="G23" i="64" s="1"/>
  <c r="H23" i="64" s="1"/>
  <c r="F22" i="64"/>
  <c r="G22" i="64" s="1"/>
  <c r="H22" i="64" s="1"/>
  <c r="F21" i="64"/>
  <c r="G21" i="64" s="1"/>
  <c r="H21" i="64" s="1"/>
  <c r="F20" i="64"/>
  <c r="G20" i="64" s="1"/>
  <c r="H20" i="64" s="1"/>
  <c r="F19" i="64"/>
  <c r="G19" i="64" s="1"/>
  <c r="H19" i="64" s="1"/>
  <c r="F18" i="64"/>
  <c r="G18" i="64" s="1"/>
  <c r="H18" i="64" s="1"/>
  <c r="F17" i="64"/>
  <c r="G17" i="64" s="1"/>
  <c r="H17" i="64" s="1"/>
  <c r="F16" i="64"/>
  <c r="G16" i="64" s="1"/>
  <c r="H16" i="64" s="1"/>
  <c r="F15" i="64"/>
  <c r="G15" i="64" s="1"/>
  <c r="H15" i="64" s="1"/>
  <c r="F14" i="64"/>
  <c r="G14" i="64" s="1"/>
  <c r="H14" i="64" s="1"/>
  <c r="F13" i="64"/>
  <c r="G13" i="64" s="1"/>
  <c r="H13" i="64" s="1"/>
  <c r="F12" i="64"/>
  <c r="G12" i="64" s="1"/>
  <c r="H12" i="64" s="1"/>
  <c r="F11" i="64"/>
  <c r="G11" i="64" s="1"/>
  <c r="H11" i="64" s="1"/>
  <c r="F10" i="64"/>
  <c r="G10" i="64" s="1"/>
  <c r="H10" i="64" s="1"/>
  <c r="F9" i="64"/>
  <c r="G9" i="64" s="1"/>
  <c r="H9" i="64" s="1"/>
  <c r="F8" i="64"/>
  <c r="G8" i="64" s="1"/>
  <c r="H8" i="64" s="1"/>
  <c r="F7" i="64"/>
  <c r="G7" i="64" s="1"/>
  <c r="H7" i="64" s="1"/>
  <c r="F6" i="64"/>
  <c r="G6" i="64" s="1"/>
  <c r="H6" i="64" s="1"/>
  <c r="F5" i="64"/>
  <c r="G5" i="64" s="1"/>
  <c r="H5" i="64" s="1"/>
  <c r="F4" i="64"/>
  <c r="G4" i="64" s="1"/>
  <c r="H4" i="64" s="1"/>
  <c r="F3" i="64"/>
  <c r="G3" i="64" s="1"/>
  <c r="J28" i="65"/>
  <c r="C23" i="65"/>
  <c r="J26" i="65"/>
  <c r="AF53" i="8"/>
  <c r="AB52" i="8"/>
  <c r="AB51" i="8"/>
  <c r="AB50" i="8"/>
  <c r="AB49" i="8"/>
  <c r="AB48" i="8"/>
  <c r="AB47" i="8"/>
  <c r="AB46" i="8"/>
  <c r="AA51" i="8"/>
  <c r="AA50" i="8"/>
  <c r="AA49" i="8"/>
  <c r="AA48" i="8"/>
  <c r="AA47" i="8"/>
  <c r="AA46" i="8"/>
  <c r="C65" i="8"/>
  <c r="C67" i="8" s="1"/>
  <c r="C69" i="8" s="1"/>
  <c r="C71" i="8" s="1"/>
  <c r="Q72" i="8"/>
  <c r="J72" i="8"/>
  <c r="G72" i="8"/>
  <c r="V71" i="8"/>
  <c r="Q71" i="8"/>
  <c r="J71" i="8"/>
  <c r="K71" i="8" s="1"/>
  <c r="G71" i="8"/>
  <c r="Q70" i="8"/>
  <c r="J70" i="8"/>
  <c r="G70" i="8"/>
  <c r="V69" i="8"/>
  <c r="Q69" i="8"/>
  <c r="J69" i="8"/>
  <c r="K69" i="8" s="1"/>
  <c r="G69" i="8"/>
  <c r="Q68" i="8"/>
  <c r="J68" i="8"/>
  <c r="G68" i="8"/>
  <c r="V67" i="8"/>
  <c r="Q67" i="8"/>
  <c r="J67" i="8"/>
  <c r="K67" i="8" s="1"/>
  <c r="G67" i="8"/>
  <c r="Q66" i="8"/>
  <c r="J66" i="8"/>
  <c r="G66" i="8"/>
  <c r="V65" i="8"/>
  <c r="Q65" i="8"/>
  <c r="J65" i="8"/>
  <c r="K65" i="8" s="1"/>
  <c r="G65" i="8"/>
  <c r="J61" i="8"/>
  <c r="P60" i="8"/>
  <c r="P59" i="8"/>
  <c r="F60" i="8"/>
  <c r="E60" i="8"/>
  <c r="G94" i="66"/>
  <c r="H94" i="66" s="1"/>
  <c r="G93" i="66"/>
  <c r="H93" i="66" s="1"/>
  <c r="G92" i="66"/>
  <c r="D88" i="66"/>
  <c r="G84" i="66"/>
  <c r="H84" i="66" s="1"/>
  <c r="G83" i="66"/>
  <c r="H83" i="66" s="1"/>
  <c r="G82" i="66"/>
  <c r="H82" i="66" s="1"/>
  <c r="G81" i="66"/>
  <c r="H81" i="66" s="1"/>
  <c r="G80" i="66"/>
  <c r="H80" i="66" s="1"/>
  <c r="G79" i="66"/>
  <c r="G76" i="66"/>
  <c r="H76" i="66" s="1"/>
  <c r="G75" i="66"/>
  <c r="D74" i="66"/>
  <c r="G77" i="66" s="1"/>
  <c r="H77" i="66" s="1"/>
  <c r="G70" i="66"/>
  <c r="H70" i="66" s="1"/>
  <c r="G69" i="66"/>
  <c r="H69" i="66" s="1"/>
  <c r="G68" i="66"/>
  <c r="H68" i="66" s="1"/>
  <c r="G67" i="66"/>
  <c r="H67" i="66" s="1"/>
  <c r="G66" i="66"/>
  <c r="H66" i="66" s="1"/>
  <c r="G65" i="66"/>
  <c r="G62" i="66"/>
  <c r="H62" i="66" s="1"/>
  <c r="G61" i="66"/>
  <c r="D60" i="66"/>
  <c r="G63" i="66" s="1"/>
  <c r="H63" i="66" s="1"/>
  <c r="K54" i="66"/>
  <c r="M54" i="66" s="1"/>
  <c r="J50" i="66"/>
  <c r="I50" i="66"/>
  <c r="K49" i="66"/>
  <c r="J49" i="66"/>
  <c r="I49" i="66"/>
  <c r="M48" i="66"/>
  <c r="J48" i="66"/>
  <c r="I48" i="66"/>
  <c r="M47" i="66"/>
  <c r="I47" i="66"/>
  <c r="K46" i="66"/>
  <c r="J46" i="66"/>
  <c r="J54" i="66" s="1"/>
  <c r="I54" i="66" s="1"/>
  <c r="L42" i="66"/>
  <c r="J42" i="66"/>
  <c r="H42" i="66"/>
  <c r="D41" i="66"/>
  <c r="K40" i="66"/>
  <c r="D40" i="66"/>
  <c r="X37" i="66"/>
  <c r="W37" i="66"/>
  <c r="V37" i="66"/>
  <c r="S37" i="66"/>
  <c r="X36" i="66"/>
  <c r="W36" i="66"/>
  <c r="V36" i="66"/>
  <c r="S36" i="66"/>
  <c r="J36" i="66"/>
  <c r="X35" i="66"/>
  <c r="W35" i="66"/>
  <c r="V35" i="66"/>
  <c r="S35" i="66"/>
  <c r="J35" i="66"/>
  <c r="X34" i="66"/>
  <c r="W34" i="66"/>
  <c r="V34" i="66"/>
  <c r="U34" i="66"/>
  <c r="S34" i="66"/>
  <c r="J34" i="66"/>
  <c r="X33" i="66"/>
  <c r="W33" i="66"/>
  <c r="V33" i="66"/>
  <c r="U33" i="66"/>
  <c r="C33" i="66"/>
  <c r="W32" i="66"/>
  <c r="V32" i="66"/>
  <c r="U32" i="66"/>
  <c r="X31" i="66"/>
  <c r="W31" i="66"/>
  <c r="V31" i="66"/>
  <c r="U31" i="66"/>
  <c r="X30" i="66"/>
  <c r="W30" i="66"/>
  <c r="V30" i="66"/>
  <c r="U30" i="66"/>
  <c r="C30" i="66"/>
  <c r="X29" i="66"/>
  <c r="W29" i="66"/>
  <c r="V29" i="66"/>
  <c r="U29" i="66"/>
  <c r="U37" i="66" s="1"/>
  <c r="H45" i="66" s="1"/>
  <c r="J29" i="66"/>
  <c r="I41" i="66" s="1"/>
  <c r="J41" i="66" s="1"/>
  <c r="C29" i="66"/>
  <c r="C31" i="66" s="1"/>
  <c r="X26" i="66"/>
  <c r="W26" i="66"/>
  <c r="V26" i="66"/>
  <c r="S26" i="66"/>
  <c r="J26" i="66"/>
  <c r="O60" i="8" s="1"/>
  <c r="X25" i="66"/>
  <c r="W25" i="66"/>
  <c r="V25" i="66"/>
  <c r="U25" i="66"/>
  <c r="S25" i="66"/>
  <c r="X24" i="66"/>
  <c r="W24" i="66"/>
  <c r="V24" i="66"/>
  <c r="U24" i="66"/>
  <c r="S24" i="66"/>
  <c r="J24" i="66"/>
  <c r="X23" i="66"/>
  <c r="W23" i="66"/>
  <c r="V23" i="66"/>
  <c r="U23" i="66"/>
  <c r="S23" i="66"/>
  <c r="J23" i="66"/>
  <c r="X22" i="66"/>
  <c r="W22" i="66"/>
  <c r="V22" i="66"/>
  <c r="U22" i="66"/>
  <c r="S22" i="66"/>
  <c r="J22" i="66"/>
  <c r="X21" i="66"/>
  <c r="W21" i="66"/>
  <c r="V21" i="66"/>
  <c r="U21" i="66"/>
  <c r="U26" i="66" s="1"/>
  <c r="H53" i="66" s="1"/>
  <c r="S21" i="66"/>
  <c r="J21" i="66"/>
  <c r="D18" i="66"/>
  <c r="D17" i="66"/>
  <c r="D16" i="66"/>
  <c r="D15" i="66"/>
  <c r="M12" i="66" s="1"/>
  <c r="M11" i="66"/>
  <c r="M7" i="66"/>
  <c r="G97" i="65"/>
  <c r="H97" i="65" s="1"/>
  <c r="G96" i="65"/>
  <c r="H96" i="65" s="1"/>
  <c r="G95" i="65"/>
  <c r="D91" i="65"/>
  <c r="G87" i="65"/>
  <c r="G86" i="65"/>
  <c r="H86" i="65" s="1"/>
  <c r="G85" i="65"/>
  <c r="H85" i="65" s="1"/>
  <c r="G84" i="65"/>
  <c r="H84" i="65" s="1"/>
  <c r="G83" i="65"/>
  <c r="H83" i="65" s="1"/>
  <c r="G82" i="65"/>
  <c r="G78" i="65"/>
  <c r="D77" i="65"/>
  <c r="G73" i="65"/>
  <c r="G72" i="65"/>
  <c r="G71" i="65"/>
  <c r="G70" i="65"/>
  <c r="G69" i="65"/>
  <c r="G68" i="65"/>
  <c r="G65" i="65"/>
  <c r="H65" i="65" s="1"/>
  <c r="G64" i="65"/>
  <c r="D63" i="65"/>
  <c r="J57" i="65"/>
  <c r="K56" i="65"/>
  <c r="M56" i="65" s="1"/>
  <c r="J52" i="65"/>
  <c r="I52" i="65"/>
  <c r="K51" i="65"/>
  <c r="J51" i="65"/>
  <c r="I51" i="65"/>
  <c r="M50" i="65"/>
  <c r="J50" i="65"/>
  <c r="I50" i="65" s="1"/>
  <c r="M49" i="65"/>
  <c r="I49" i="65"/>
  <c r="K48" i="65"/>
  <c r="M48" i="65" s="1"/>
  <c r="J48" i="65"/>
  <c r="L44" i="65"/>
  <c r="J44" i="65"/>
  <c r="H44" i="65"/>
  <c r="M7" i="65" s="1"/>
  <c r="D43" i="65"/>
  <c r="K42" i="65"/>
  <c r="D42" i="65"/>
  <c r="X39" i="65"/>
  <c r="W39" i="65"/>
  <c r="V39" i="65"/>
  <c r="S39" i="65"/>
  <c r="X38" i="65"/>
  <c r="W38" i="65"/>
  <c r="V38" i="65"/>
  <c r="S38" i="65"/>
  <c r="J38" i="65"/>
  <c r="X37" i="65"/>
  <c r="W37" i="65"/>
  <c r="V37" i="65"/>
  <c r="S37" i="65"/>
  <c r="J37" i="65"/>
  <c r="X36" i="65"/>
  <c r="W36" i="65"/>
  <c r="V36" i="65"/>
  <c r="U36" i="65"/>
  <c r="S36" i="65"/>
  <c r="J36" i="65"/>
  <c r="X35" i="65"/>
  <c r="W35" i="65"/>
  <c r="V35" i="65"/>
  <c r="U35" i="65"/>
  <c r="C35" i="65"/>
  <c r="W34" i="65"/>
  <c r="V34" i="65"/>
  <c r="U34" i="65"/>
  <c r="X33" i="65"/>
  <c r="W33" i="65"/>
  <c r="V33" i="65"/>
  <c r="U33" i="65"/>
  <c r="X32" i="65"/>
  <c r="W32" i="65"/>
  <c r="V32" i="65"/>
  <c r="U32" i="65"/>
  <c r="C32" i="65"/>
  <c r="X31" i="65"/>
  <c r="W31" i="65"/>
  <c r="V31" i="65"/>
  <c r="U31" i="65"/>
  <c r="U39" i="65" s="1"/>
  <c r="H47" i="65" s="1"/>
  <c r="J31" i="65"/>
  <c r="I43" i="65" s="1"/>
  <c r="J43" i="65" s="1"/>
  <c r="C31" i="65"/>
  <c r="C33" i="65" s="1"/>
  <c r="X28" i="65"/>
  <c r="W28" i="65"/>
  <c r="V28" i="65"/>
  <c r="S28" i="65"/>
  <c r="O59" i="8"/>
  <c r="X27" i="65"/>
  <c r="W27" i="65"/>
  <c r="V27" i="65"/>
  <c r="U26" i="65"/>
  <c r="U24" i="65"/>
  <c r="J24" i="65"/>
  <c r="X23" i="65"/>
  <c r="W23" i="65"/>
  <c r="V23" i="65"/>
  <c r="U23" i="65"/>
  <c r="S23" i="65"/>
  <c r="J23" i="65"/>
  <c r="G79" i="65" s="1"/>
  <c r="H79" i="65" s="1"/>
  <c r="X22" i="65"/>
  <c r="W22" i="65"/>
  <c r="V22" i="65"/>
  <c r="U22" i="65"/>
  <c r="S22" i="65"/>
  <c r="J22" i="65"/>
  <c r="C22" i="65"/>
  <c r="X21" i="65"/>
  <c r="W21" i="65"/>
  <c r="V21" i="65"/>
  <c r="U21" i="65"/>
  <c r="S21" i="65"/>
  <c r="J21" i="65"/>
  <c r="C21" i="65"/>
  <c r="D18" i="65"/>
  <c r="D17" i="65"/>
  <c r="D16" i="65"/>
  <c r="D15" i="65"/>
  <c r="M11" i="65"/>
  <c r="U22" i="42"/>
  <c r="H56" i="62"/>
  <c r="C58" i="62"/>
  <c r="C57" i="62"/>
  <c r="C56" i="62"/>
  <c r="J26" i="63"/>
  <c r="O58" i="8" s="1"/>
  <c r="X24" i="63"/>
  <c r="W24" i="63"/>
  <c r="V24" i="63"/>
  <c r="U24" i="63"/>
  <c r="S24" i="63"/>
  <c r="J24" i="63"/>
  <c r="J24" i="62"/>
  <c r="J56" i="62"/>
  <c r="P58" i="8"/>
  <c r="G94" i="63"/>
  <c r="H94" i="63" s="1"/>
  <c r="G93" i="63"/>
  <c r="H93" i="63" s="1"/>
  <c r="G92" i="63"/>
  <c r="D88" i="63"/>
  <c r="G84" i="63"/>
  <c r="G83" i="63"/>
  <c r="H83" i="63" s="1"/>
  <c r="G82" i="63"/>
  <c r="G81" i="63"/>
  <c r="G80" i="63"/>
  <c r="G79" i="63"/>
  <c r="G76" i="63"/>
  <c r="H76" i="63" s="1"/>
  <c r="G75" i="63"/>
  <c r="D74" i="63"/>
  <c r="G77" i="63" s="1"/>
  <c r="H77" i="63" s="1"/>
  <c r="G70" i="63"/>
  <c r="G69" i="63"/>
  <c r="G68" i="63"/>
  <c r="G67" i="63"/>
  <c r="G66" i="63"/>
  <c r="G65" i="63"/>
  <c r="G62" i="63"/>
  <c r="H62" i="63" s="1"/>
  <c r="G61" i="63"/>
  <c r="D60" i="63"/>
  <c r="G63" i="63" s="1"/>
  <c r="H63" i="63" s="1"/>
  <c r="K54" i="63"/>
  <c r="M54" i="63" s="1"/>
  <c r="J50" i="63"/>
  <c r="I50" i="63"/>
  <c r="K49" i="63"/>
  <c r="J49" i="63"/>
  <c r="I49" i="63" s="1"/>
  <c r="M48" i="63"/>
  <c r="J48" i="63"/>
  <c r="I48" i="63"/>
  <c r="M47" i="63"/>
  <c r="I47" i="63"/>
  <c r="K46" i="63"/>
  <c r="M46" i="63" s="1"/>
  <c r="J46" i="63"/>
  <c r="J54" i="63" s="1"/>
  <c r="I54" i="63" s="1"/>
  <c r="I46" i="63"/>
  <c r="L42" i="63"/>
  <c r="J42" i="63"/>
  <c r="H42" i="63"/>
  <c r="D41" i="63"/>
  <c r="K40" i="63"/>
  <c r="D40" i="63"/>
  <c r="X37" i="63"/>
  <c r="W37" i="63"/>
  <c r="V37" i="63"/>
  <c r="S37" i="63"/>
  <c r="X36" i="63"/>
  <c r="W36" i="63"/>
  <c r="V36" i="63"/>
  <c r="S36" i="63"/>
  <c r="J36" i="63"/>
  <c r="X35" i="63"/>
  <c r="W35" i="63"/>
  <c r="V35" i="63"/>
  <c r="S35" i="63"/>
  <c r="J35" i="63"/>
  <c r="X34" i="63"/>
  <c r="W34" i="63"/>
  <c r="V34" i="63"/>
  <c r="U34" i="63"/>
  <c r="S34" i="63"/>
  <c r="J34" i="63"/>
  <c r="X33" i="63"/>
  <c r="W33" i="63"/>
  <c r="V33" i="63"/>
  <c r="U33" i="63"/>
  <c r="C33" i="63"/>
  <c r="W32" i="63"/>
  <c r="V32" i="63"/>
  <c r="U32" i="63"/>
  <c r="X31" i="63"/>
  <c r="W31" i="63"/>
  <c r="V31" i="63"/>
  <c r="U31" i="63"/>
  <c r="X30" i="63"/>
  <c r="W30" i="63"/>
  <c r="V30" i="63"/>
  <c r="U30" i="63"/>
  <c r="C30" i="63"/>
  <c r="X29" i="63"/>
  <c r="W29" i="63"/>
  <c r="V29" i="63"/>
  <c r="U29" i="63"/>
  <c r="U37" i="63" s="1"/>
  <c r="H45" i="63" s="1"/>
  <c r="J29" i="63"/>
  <c r="I41" i="63" s="1"/>
  <c r="J41" i="63" s="1"/>
  <c r="C29" i="63"/>
  <c r="C31" i="63" s="1"/>
  <c r="X26" i="63"/>
  <c r="W26" i="63"/>
  <c r="V26" i="63"/>
  <c r="S26" i="63"/>
  <c r="X25" i="63"/>
  <c r="W25" i="63"/>
  <c r="V25" i="63"/>
  <c r="U25" i="63"/>
  <c r="S25" i="63"/>
  <c r="X23" i="63"/>
  <c r="W23" i="63"/>
  <c r="V23" i="63"/>
  <c r="U23" i="63"/>
  <c r="S23" i="63"/>
  <c r="J23" i="63"/>
  <c r="X22" i="63"/>
  <c r="W22" i="63"/>
  <c r="V22" i="63"/>
  <c r="U22" i="63"/>
  <c r="S22" i="63"/>
  <c r="J22" i="63"/>
  <c r="X21" i="63"/>
  <c r="W21" i="63"/>
  <c r="V21" i="63"/>
  <c r="U21" i="63"/>
  <c r="S21" i="63"/>
  <c r="J21" i="63"/>
  <c r="D18" i="63"/>
  <c r="D17" i="63"/>
  <c r="D16" i="63"/>
  <c r="M12" i="63" s="1"/>
  <c r="D15" i="63"/>
  <c r="M11" i="63"/>
  <c r="M7" i="63"/>
  <c r="P57" i="8"/>
  <c r="G96" i="62"/>
  <c r="H96" i="62" s="1"/>
  <c r="G95" i="62"/>
  <c r="H95" i="62" s="1"/>
  <c r="G94" i="62"/>
  <c r="D90" i="62"/>
  <c r="G86" i="62"/>
  <c r="H86" i="62" s="1"/>
  <c r="G85" i="62"/>
  <c r="G84" i="62"/>
  <c r="G83" i="62"/>
  <c r="G82" i="62"/>
  <c r="G81" i="62"/>
  <c r="G77" i="62"/>
  <c r="D76" i="62"/>
  <c r="G72" i="62"/>
  <c r="G71" i="62"/>
  <c r="G70" i="62"/>
  <c r="G69" i="62"/>
  <c r="G68" i="62"/>
  <c r="G67" i="62"/>
  <c r="G64" i="62"/>
  <c r="H64" i="62" s="1"/>
  <c r="G63" i="62"/>
  <c r="D62" i="62"/>
  <c r="K55" i="62"/>
  <c r="M55" i="62" s="1"/>
  <c r="J51" i="62"/>
  <c r="I51" i="62"/>
  <c r="K50" i="62"/>
  <c r="J50" i="62"/>
  <c r="I50" i="62" s="1"/>
  <c r="M49" i="62"/>
  <c r="J49" i="62"/>
  <c r="I49" i="62"/>
  <c r="M48" i="62"/>
  <c r="I48" i="62"/>
  <c r="K47" i="62"/>
  <c r="J47" i="62"/>
  <c r="J55" i="62" s="1"/>
  <c r="I55" i="62" s="1"/>
  <c r="L43" i="62"/>
  <c r="J43" i="62"/>
  <c r="H43" i="62"/>
  <c r="M7" i="62" s="1"/>
  <c r="D42" i="62"/>
  <c r="K41" i="62"/>
  <c r="D41" i="62"/>
  <c r="X38" i="62"/>
  <c r="W38" i="62"/>
  <c r="V38" i="62"/>
  <c r="S38" i="62"/>
  <c r="X37" i="62"/>
  <c r="W37" i="62"/>
  <c r="V37" i="62"/>
  <c r="S37" i="62"/>
  <c r="J37" i="62"/>
  <c r="X36" i="62"/>
  <c r="W36" i="62"/>
  <c r="V36" i="62"/>
  <c r="S36" i="62"/>
  <c r="J36" i="62"/>
  <c r="X35" i="62"/>
  <c r="W35" i="62"/>
  <c r="V35" i="62"/>
  <c r="U35" i="62"/>
  <c r="S35" i="62"/>
  <c r="J35" i="62"/>
  <c r="X34" i="62"/>
  <c r="W34" i="62"/>
  <c r="V34" i="62"/>
  <c r="U34" i="62"/>
  <c r="C34" i="62"/>
  <c r="W33" i="62"/>
  <c r="V33" i="62"/>
  <c r="U33" i="62"/>
  <c r="X32" i="62"/>
  <c r="W32" i="62"/>
  <c r="V32" i="62"/>
  <c r="U32" i="62"/>
  <c r="X31" i="62"/>
  <c r="W31" i="62"/>
  <c r="V31" i="62"/>
  <c r="U31" i="62"/>
  <c r="C31" i="62"/>
  <c r="X30" i="62"/>
  <c r="W30" i="62"/>
  <c r="V30" i="62"/>
  <c r="U30" i="62"/>
  <c r="J30" i="62"/>
  <c r="I42" i="62" s="1"/>
  <c r="J42" i="62" s="1"/>
  <c r="C30" i="62"/>
  <c r="C32" i="62" s="1"/>
  <c r="X27" i="62"/>
  <c r="W27" i="62"/>
  <c r="V27" i="62"/>
  <c r="S27" i="62"/>
  <c r="J27" i="62"/>
  <c r="O57" i="8" s="1"/>
  <c r="Q57" i="8" s="1"/>
  <c r="X26" i="62"/>
  <c r="W26" i="62"/>
  <c r="V26" i="62"/>
  <c r="U25" i="62"/>
  <c r="U24" i="62"/>
  <c r="X23" i="62"/>
  <c r="W23" i="62"/>
  <c r="V23" i="62"/>
  <c r="U23" i="62"/>
  <c r="S23" i="62"/>
  <c r="J23" i="62"/>
  <c r="X22" i="62"/>
  <c r="W22" i="62"/>
  <c r="V22" i="62"/>
  <c r="U22" i="62"/>
  <c r="S22" i="62"/>
  <c r="J22" i="62"/>
  <c r="C22" i="62"/>
  <c r="X21" i="62"/>
  <c r="W21" i="62"/>
  <c r="V21" i="62"/>
  <c r="U21" i="62"/>
  <c r="S21" i="62"/>
  <c r="J21" i="62"/>
  <c r="C21" i="62"/>
  <c r="D18" i="62"/>
  <c r="D17" i="62"/>
  <c r="D16" i="62"/>
  <c r="D15" i="62"/>
  <c r="M12" i="62" s="1"/>
  <c r="M11" i="62"/>
  <c r="W19" i="4"/>
  <c r="W18" i="4"/>
  <c r="P56" i="8"/>
  <c r="O56" i="8"/>
  <c r="P55" i="8"/>
  <c r="O55" i="8"/>
  <c r="G93" i="61"/>
  <c r="H93" i="61" s="1"/>
  <c r="G92" i="61"/>
  <c r="H92" i="61" s="1"/>
  <c r="G91" i="61"/>
  <c r="D87" i="61"/>
  <c r="G83" i="61"/>
  <c r="H83" i="61" s="1"/>
  <c r="G82" i="61"/>
  <c r="H82" i="61" s="1"/>
  <c r="G81" i="61"/>
  <c r="H81" i="61" s="1"/>
  <c r="G80" i="61"/>
  <c r="H80" i="61" s="1"/>
  <c r="G79" i="61"/>
  <c r="H79" i="61" s="1"/>
  <c r="G78" i="61"/>
  <c r="G75" i="61"/>
  <c r="H75" i="61" s="1"/>
  <c r="G74" i="61"/>
  <c r="D73" i="61"/>
  <c r="G76" i="61" s="1"/>
  <c r="H76" i="61" s="1"/>
  <c r="G69" i="61"/>
  <c r="H69" i="61" s="1"/>
  <c r="G68" i="61"/>
  <c r="H68" i="61" s="1"/>
  <c r="G67" i="61"/>
  <c r="H67" i="61" s="1"/>
  <c r="G66" i="61"/>
  <c r="H66" i="61" s="1"/>
  <c r="G65" i="61"/>
  <c r="H65" i="61" s="1"/>
  <c r="G64" i="61"/>
  <c r="G61" i="61"/>
  <c r="H61" i="61" s="1"/>
  <c r="G60" i="61"/>
  <c r="D59" i="61"/>
  <c r="G62" i="61" s="1"/>
  <c r="H62" i="61" s="1"/>
  <c r="K53" i="61"/>
  <c r="M53" i="61" s="1"/>
  <c r="J49" i="61"/>
  <c r="I49" i="61"/>
  <c r="K48" i="61"/>
  <c r="J48" i="61"/>
  <c r="I48" i="61"/>
  <c r="M47" i="61"/>
  <c r="J47" i="61"/>
  <c r="I47" i="61"/>
  <c r="M46" i="61"/>
  <c r="I46" i="61"/>
  <c r="K45" i="61"/>
  <c r="M45" i="61" s="1"/>
  <c r="J45" i="61"/>
  <c r="J53" i="61" s="1"/>
  <c r="I53" i="61" s="1"/>
  <c r="I45" i="61"/>
  <c r="L41" i="61"/>
  <c r="J41" i="61"/>
  <c r="H41" i="61"/>
  <c r="D40" i="61"/>
  <c r="K39" i="61"/>
  <c r="D39" i="61"/>
  <c r="X36" i="61"/>
  <c r="W36" i="61"/>
  <c r="V36" i="61"/>
  <c r="S36" i="61"/>
  <c r="X35" i="61"/>
  <c r="W35" i="61"/>
  <c r="V35" i="61"/>
  <c r="S35" i="61"/>
  <c r="J35" i="61"/>
  <c r="X34" i="61"/>
  <c r="W34" i="61"/>
  <c r="V34" i="61"/>
  <c r="S34" i="61"/>
  <c r="J34" i="61"/>
  <c r="X33" i="61"/>
  <c r="W33" i="61"/>
  <c r="V33" i="61"/>
  <c r="U33" i="61"/>
  <c r="S33" i="61"/>
  <c r="J33" i="61"/>
  <c r="X32" i="61"/>
  <c r="W32" i="61"/>
  <c r="V32" i="61"/>
  <c r="U32" i="61"/>
  <c r="C32" i="61"/>
  <c r="W31" i="61"/>
  <c r="V31" i="61"/>
  <c r="U31" i="61"/>
  <c r="X30" i="61"/>
  <c r="W30" i="61"/>
  <c r="V30" i="61"/>
  <c r="U30" i="61"/>
  <c r="X29" i="61"/>
  <c r="W29" i="61"/>
  <c r="V29" i="61"/>
  <c r="U29" i="61"/>
  <c r="C29" i="61"/>
  <c r="X28" i="61"/>
  <c r="W28" i="61"/>
  <c r="V28" i="61"/>
  <c r="U28" i="61"/>
  <c r="U36" i="61" s="1"/>
  <c r="H44" i="61" s="1"/>
  <c r="J28" i="61"/>
  <c r="I40" i="61" s="1"/>
  <c r="J40" i="61" s="1"/>
  <c r="C28" i="61"/>
  <c r="C30" i="61" s="1"/>
  <c r="X25" i="61"/>
  <c r="W25" i="61"/>
  <c r="V25" i="61"/>
  <c r="S25" i="61"/>
  <c r="J25" i="61"/>
  <c r="X24" i="61"/>
  <c r="W24" i="61"/>
  <c r="V24" i="61"/>
  <c r="U24" i="61"/>
  <c r="S24" i="61"/>
  <c r="X23" i="61"/>
  <c r="W23" i="61"/>
  <c r="V23" i="61"/>
  <c r="U23" i="61"/>
  <c r="S23" i="61"/>
  <c r="J23" i="61"/>
  <c r="X22" i="61"/>
  <c r="W22" i="61"/>
  <c r="V22" i="61"/>
  <c r="U22" i="61"/>
  <c r="S22" i="61"/>
  <c r="J22" i="61"/>
  <c r="X21" i="61"/>
  <c r="W21" i="61"/>
  <c r="V21" i="61"/>
  <c r="U21" i="61"/>
  <c r="S21" i="61"/>
  <c r="J21" i="61"/>
  <c r="G40" i="61" s="1"/>
  <c r="D18" i="61"/>
  <c r="D17" i="61"/>
  <c r="D16" i="61"/>
  <c r="D15" i="61"/>
  <c r="M12" i="61" s="1"/>
  <c r="M11" i="61"/>
  <c r="M7" i="61"/>
  <c r="J27" i="60"/>
  <c r="C24" i="60"/>
  <c r="J24" i="60"/>
  <c r="G95" i="60"/>
  <c r="H95" i="60" s="1"/>
  <c r="G94" i="60"/>
  <c r="H94" i="60" s="1"/>
  <c r="G93" i="60"/>
  <c r="D89" i="60"/>
  <c r="G85" i="60"/>
  <c r="H85" i="60" s="1"/>
  <c r="G84" i="60"/>
  <c r="H84" i="60" s="1"/>
  <c r="G83" i="60"/>
  <c r="H83" i="60" s="1"/>
  <c r="G82" i="60"/>
  <c r="H82" i="60" s="1"/>
  <c r="G81" i="60"/>
  <c r="H81" i="60" s="1"/>
  <c r="G80" i="60"/>
  <c r="G77" i="60"/>
  <c r="H77" i="60" s="1"/>
  <c r="G76" i="60"/>
  <c r="D75" i="60"/>
  <c r="G78" i="60" s="1"/>
  <c r="H78" i="60" s="1"/>
  <c r="G71" i="60"/>
  <c r="H71" i="60" s="1"/>
  <c r="G70" i="60"/>
  <c r="H70" i="60" s="1"/>
  <c r="G69" i="60"/>
  <c r="H69" i="60" s="1"/>
  <c r="G68" i="60"/>
  <c r="H68" i="60" s="1"/>
  <c r="G67" i="60"/>
  <c r="H67" i="60" s="1"/>
  <c r="G66" i="60"/>
  <c r="G63" i="60"/>
  <c r="H63" i="60" s="1"/>
  <c r="G62" i="60"/>
  <c r="D61" i="60"/>
  <c r="G64" i="60" s="1"/>
  <c r="H64" i="60" s="1"/>
  <c r="K55" i="60"/>
  <c r="M55" i="60" s="1"/>
  <c r="J51" i="60"/>
  <c r="I51" i="60"/>
  <c r="K50" i="60"/>
  <c r="J50" i="60"/>
  <c r="I50" i="60"/>
  <c r="M49" i="60"/>
  <c r="J49" i="60"/>
  <c r="I49" i="60"/>
  <c r="M48" i="60"/>
  <c r="I48" i="60"/>
  <c r="K47" i="60"/>
  <c r="M47" i="60" s="1"/>
  <c r="J47" i="60"/>
  <c r="J55" i="60" s="1"/>
  <c r="I55" i="60" s="1"/>
  <c r="I47" i="60"/>
  <c r="L43" i="60"/>
  <c r="J43" i="60"/>
  <c r="H43" i="60"/>
  <c r="D42" i="60"/>
  <c r="K41" i="60"/>
  <c r="D41" i="60"/>
  <c r="X38" i="60"/>
  <c r="W38" i="60"/>
  <c r="V38" i="60"/>
  <c r="S38" i="60"/>
  <c r="X37" i="60"/>
  <c r="W37" i="60"/>
  <c r="V37" i="60"/>
  <c r="S37" i="60"/>
  <c r="J37" i="60"/>
  <c r="X36" i="60"/>
  <c r="W36" i="60"/>
  <c r="V36" i="60"/>
  <c r="S36" i="60"/>
  <c r="J36" i="60"/>
  <c r="X35" i="60"/>
  <c r="W35" i="60"/>
  <c r="V35" i="60"/>
  <c r="U35" i="60"/>
  <c r="S35" i="60"/>
  <c r="J35" i="60"/>
  <c r="X34" i="60"/>
  <c r="W34" i="60"/>
  <c r="V34" i="60"/>
  <c r="U34" i="60"/>
  <c r="C34" i="60"/>
  <c r="W33" i="60"/>
  <c r="V33" i="60"/>
  <c r="U33" i="60"/>
  <c r="X32" i="60"/>
  <c r="W32" i="60"/>
  <c r="V32" i="60"/>
  <c r="U32" i="60"/>
  <c r="X31" i="60"/>
  <c r="W31" i="60"/>
  <c r="V31" i="60"/>
  <c r="U31" i="60"/>
  <c r="C31" i="60"/>
  <c r="X30" i="60"/>
  <c r="W30" i="60"/>
  <c r="V30" i="60"/>
  <c r="U30" i="60"/>
  <c r="J30" i="60"/>
  <c r="I42" i="60" s="1"/>
  <c r="J42" i="60" s="1"/>
  <c r="C30" i="60"/>
  <c r="C32" i="60" s="1"/>
  <c r="X27" i="60"/>
  <c r="W27" i="60"/>
  <c r="V27" i="60"/>
  <c r="S27" i="60"/>
  <c r="X26" i="60"/>
  <c r="W26" i="60"/>
  <c r="V26" i="60"/>
  <c r="U25" i="60"/>
  <c r="U24" i="60"/>
  <c r="X23" i="60"/>
  <c r="W23" i="60"/>
  <c r="V23" i="60"/>
  <c r="U23" i="60"/>
  <c r="S23" i="60"/>
  <c r="J23" i="60"/>
  <c r="X22" i="60"/>
  <c r="W22" i="60"/>
  <c r="V22" i="60"/>
  <c r="U22" i="60"/>
  <c r="S22" i="60"/>
  <c r="J22" i="60"/>
  <c r="C22" i="60"/>
  <c r="X21" i="60"/>
  <c r="W21" i="60"/>
  <c r="V21" i="60"/>
  <c r="U21" i="60"/>
  <c r="S21" i="60"/>
  <c r="J21" i="60"/>
  <c r="C21" i="60"/>
  <c r="D18" i="60"/>
  <c r="D17" i="60"/>
  <c r="D16" i="60"/>
  <c r="D15" i="60"/>
  <c r="M12" i="60"/>
  <c r="M11" i="60"/>
  <c r="M7" i="60"/>
  <c r="P52" i="8"/>
  <c r="P51" i="8"/>
  <c r="P54" i="8"/>
  <c r="P53" i="8"/>
  <c r="O54" i="8"/>
  <c r="O53" i="8"/>
  <c r="J25" i="59"/>
  <c r="X23" i="59"/>
  <c r="W23" i="59"/>
  <c r="V23" i="59"/>
  <c r="U23" i="59"/>
  <c r="S23" i="59"/>
  <c r="J23" i="59"/>
  <c r="G93" i="59"/>
  <c r="H93" i="59" s="1"/>
  <c r="G92" i="59"/>
  <c r="H92" i="59" s="1"/>
  <c r="G91" i="59"/>
  <c r="D87" i="59"/>
  <c r="G83" i="59"/>
  <c r="H83" i="59" s="1"/>
  <c r="G82" i="59"/>
  <c r="H82" i="59" s="1"/>
  <c r="G81" i="59"/>
  <c r="H81" i="59" s="1"/>
  <c r="G80" i="59"/>
  <c r="H80" i="59" s="1"/>
  <c r="G79" i="59"/>
  <c r="H79" i="59" s="1"/>
  <c r="G78" i="59"/>
  <c r="G75" i="59"/>
  <c r="H75" i="59" s="1"/>
  <c r="G74" i="59"/>
  <c r="D73" i="59"/>
  <c r="G69" i="59"/>
  <c r="H69" i="59" s="1"/>
  <c r="G68" i="59"/>
  <c r="H68" i="59" s="1"/>
  <c r="G67" i="59"/>
  <c r="H67" i="59" s="1"/>
  <c r="G66" i="59"/>
  <c r="H66" i="59" s="1"/>
  <c r="G65" i="59"/>
  <c r="H65" i="59" s="1"/>
  <c r="G64" i="59"/>
  <c r="G61" i="59"/>
  <c r="H61" i="59" s="1"/>
  <c r="G60" i="59"/>
  <c r="D59" i="59"/>
  <c r="K53" i="59"/>
  <c r="M53" i="59" s="1"/>
  <c r="J49" i="59"/>
  <c r="I49" i="59"/>
  <c r="K48" i="59"/>
  <c r="J48" i="59"/>
  <c r="I48" i="59"/>
  <c r="M47" i="59"/>
  <c r="J47" i="59"/>
  <c r="I47" i="59"/>
  <c r="M46" i="59"/>
  <c r="I46" i="59"/>
  <c r="K45" i="59"/>
  <c r="M45" i="59" s="1"/>
  <c r="J45" i="59"/>
  <c r="L41" i="59"/>
  <c r="J41" i="59"/>
  <c r="H41" i="59"/>
  <c r="D40" i="59"/>
  <c r="K39" i="59"/>
  <c r="D39" i="59"/>
  <c r="X36" i="59"/>
  <c r="W36" i="59"/>
  <c r="V36" i="59"/>
  <c r="S36" i="59"/>
  <c r="X35" i="59"/>
  <c r="W35" i="59"/>
  <c r="V35" i="59"/>
  <c r="S35" i="59"/>
  <c r="J35" i="59"/>
  <c r="X34" i="59"/>
  <c r="W34" i="59"/>
  <c r="V34" i="59"/>
  <c r="S34" i="59"/>
  <c r="J34" i="59"/>
  <c r="X33" i="59"/>
  <c r="W33" i="59"/>
  <c r="V33" i="59"/>
  <c r="U33" i="59"/>
  <c r="S33" i="59"/>
  <c r="J33" i="59"/>
  <c r="I40" i="59" s="1"/>
  <c r="J40" i="59" s="1"/>
  <c r="X32" i="59"/>
  <c r="W32" i="59"/>
  <c r="V32" i="59"/>
  <c r="U32" i="59"/>
  <c r="C32" i="59"/>
  <c r="W31" i="59"/>
  <c r="V31" i="59"/>
  <c r="U31" i="59"/>
  <c r="X30" i="59"/>
  <c r="W30" i="59"/>
  <c r="V30" i="59"/>
  <c r="U30" i="59"/>
  <c r="X29" i="59"/>
  <c r="W29" i="59"/>
  <c r="V29" i="59"/>
  <c r="U29" i="59"/>
  <c r="C29" i="59"/>
  <c r="X28" i="59"/>
  <c r="W28" i="59"/>
  <c r="V28" i="59"/>
  <c r="U28" i="59"/>
  <c r="J28" i="59"/>
  <c r="C28" i="59"/>
  <c r="C30" i="59" s="1"/>
  <c r="X25" i="59"/>
  <c r="W25" i="59"/>
  <c r="V25" i="59"/>
  <c r="S25" i="59"/>
  <c r="X24" i="59"/>
  <c r="W24" i="59"/>
  <c r="V24" i="59"/>
  <c r="U24" i="59"/>
  <c r="S24" i="59"/>
  <c r="X22" i="59"/>
  <c r="W22" i="59"/>
  <c r="V22" i="59"/>
  <c r="U22" i="59"/>
  <c r="S22" i="59"/>
  <c r="J22" i="59"/>
  <c r="X21" i="59"/>
  <c r="W21" i="59"/>
  <c r="V21" i="59"/>
  <c r="U21" i="59"/>
  <c r="S21" i="59"/>
  <c r="J21" i="59"/>
  <c r="G40" i="59" s="1"/>
  <c r="D18" i="59"/>
  <c r="D17" i="59"/>
  <c r="D16" i="59"/>
  <c r="D15" i="59"/>
  <c r="M12" i="59" s="1"/>
  <c r="M11" i="59"/>
  <c r="M7" i="59"/>
  <c r="G95" i="58"/>
  <c r="H95" i="58" s="1"/>
  <c r="G94" i="58"/>
  <c r="H94" i="58" s="1"/>
  <c r="G93" i="58"/>
  <c r="D89" i="58"/>
  <c r="G85" i="58"/>
  <c r="H85" i="58" s="1"/>
  <c r="G84" i="58"/>
  <c r="H84" i="58" s="1"/>
  <c r="G83" i="58"/>
  <c r="H83" i="58" s="1"/>
  <c r="G82" i="58"/>
  <c r="H82" i="58" s="1"/>
  <c r="G81" i="58"/>
  <c r="H81" i="58" s="1"/>
  <c r="G80" i="58"/>
  <c r="G77" i="58"/>
  <c r="H77" i="58" s="1"/>
  <c r="G76" i="58"/>
  <c r="D75" i="58"/>
  <c r="G71" i="58"/>
  <c r="H71" i="58" s="1"/>
  <c r="G70" i="58"/>
  <c r="H70" i="58" s="1"/>
  <c r="G69" i="58"/>
  <c r="H69" i="58" s="1"/>
  <c r="G68" i="58"/>
  <c r="H68" i="58" s="1"/>
  <c r="G67" i="58"/>
  <c r="H67" i="58" s="1"/>
  <c r="G66" i="58"/>
  <c r="G63" i="58"/>
  <c r="H63" i="58" s="1"/>
  <c r="G62" i="58"/>
  <c r="D61" i="58"/>
  <c r="K55" i="58"/>
  <c r="M55" i="58" s="1"/>
  <c r="J51" i="58"/>
  <c r="I51" i="58"/>
  <c r="K50" i="58"/>
  <c r="J50" i="58"/>
  <c r="I50" i="58"/>
  <c r="M49" i="58"/>
  <c r="J49" i="58"/>
  <c r="I49" i="58"/>
  <c r="M48" i="58"/>
  <c r="I48" i="58"/>
  <c r="K47" i="58"/>
  <c r="M47" i="58" s="1"/>
  <c r="J47" i="58"/>
  <c r="J55" i="58" s="1"/>
  <c r="I55" i="58" s="1"/>
  <c r="I47" i="58"/>
  <c r="L43" i="58"/>
  <c r="J43" i="58"/>
  <c r="H43" i="58"/>
  <c r="M7" i="58" s="1"/>
  <c r="D42" i="58"/>
  <c r="K41" i="58"/>
  <c r="D41" i="58"/>
  <c r="X38" i="58"/>
  <c r="W38" i="58"/>
  <c r="V38" i="58"/>
  <c r="S38" i="58"/>
  <c r="X37" i="58"/>
  <c r="W37" i="58"/>
  <c r="V37" i="58"/>
  <c r="S37" i="58"/>
  <c r="J37" i="58"/>
  <c r="X36" i="58"/>
  <c r="W36" i="58"/>
  <c r="V36" i="58"/>
  <c r="S36" i="58"/>
  <c r="J36" i="58"/>
  <c r="X35" i="58"/>
  <c r="W35" i="58"/>
  <c r="V35" i="58"/>
  <c r="U35" i="58"/>
  <c r="S35" i="58"/>
  <c r="J35" i="58"/>
  <c r="I42" i="58" s="1"/>
  <c r="J42" i="58" s="1"/>
  <c r="X34" i="58"/>
  <c r="W34" i="58"/>
  <c r="V34" i="58"/>
  <c r="U34" i="58"/>
  <c r="C34" i="58"/>
  <c r="W33" i="58"/>
  <c r="V33" i="58"/>
  <c r="U33" i="58"/>
  <c r="X32" i="58"/>
  <c r="W32" i="58"/>
  <c r="V32" i="58"/>
  <c r="U32" i="58"/>
  <c r="X31" i="58"/>
  <c r="W31" i="58"/>
  <c r="V31" i="58"/>
  <c r="U31" i="58"/>
  <c r="C31" i="58"/>
  <c r="X30" i="58"/>
  <c r="W30" i="58"/>
  <c r="V30" i="58"/>
  <c r="U30" i="58"/>
  <c r="J30" i="58"/>
  <c r="C30" i="58"/>
  <c r="C32" i="58" s="1"/>
  <c r="X27" i="58"/>
  <c r="W27" i="58"/>
  <c r="V27" i="58"/>
  <c r="S27" i="58"/>
  <c r="J27" i="58"/>
  <c r="X26" i="58"/>
  <c r="W26" i="58"/>
  <c r="V26" i="58"/>
  <c r="U25" i="58"/>
  <c r="U24" i="58"/>
  <c r="X23" i="58"/>
  <c r="W23" i="58"/>
  <c r="V23" i="58"/>
  <c r="U23" i="58"/>
  <c r="S23" i="58"/>
  <c r="J23" i="58"/>
  <c r="X22" i="58"/>
  <c r="W22" i="58"/>
  <c r="V22" i="58"/>
  <c r="U22" i="58"/>
  <c r="S22" i="58"/>
  <c r="J22" i="58"/>
  <c r="C22" i="58"/>
  <c r="X21" i="58"/>
  <c r="W21" i="58"/>
  <c r="V21" i="58"/>
  <c r="U21" i="58"/>
  <c r="S21" i="58"/>
  <c r="J21" i="58"/>
  <c r="G42" i="58" s="1"/>
  <c r="C21" i="58"/>
  <c r="D18" i="58"/>
  <c r="D17" i="58"/>
  <c r="D16" i="58"/>
  <c r="D15" i="58"/>
  <c r="M12" i="58"/>
  <c r="M11" i="58"/>
  <c r="J25" i="57"/>
  <c r="G93" i="57"/>
  <c r="H93" i="57" s="1"/>
  <c r="G92" i="57"/>
  <c r="H92" i="57" s="1"/>
  <c r="G91" i="57"/>
  <c r="D87" i="57"/>
  <c r="G83" i="57"/>
  <c r="G82" i="57"/>
  <c r="G81" i="57"/>
  <c r="G80" i="57"/>
  <c r="G79" i="57"/>
  <c r="G78" i="57"/>
  <c r="G75" i="57"/>
  <c r="H75" i="57" s="1"/>
  <c r="G74" i="57"/>
  <c r="D73" i="57"/>
  <c r="G69" i="57"/>
  <c r="G68" i="57"/>
  <c r="G67" i="57"/>
  <c r="G66" i="57"/>
  <c r="G65" i="57"/>
  <c r="G64" i="57"/>
  <c r="G61" i="57"/>
  <c r="H61" i="57" s="1"/>
  <c r="G60" i="57"/>
  <c r="D59" i="57"/>
  <c r="K53" i="57"/>
  <c r="M53" i="57" s="1"/>
  <c r="J49" i="57"/>
  <c r="I49" i="57" s="1"/>
  <c r="K48" i="57"/>
  <c r="J48" i="57"/>
  <c r="I48" i="57"/>
  <c r="M47" i="57"/>
  <c r="J47" i="57"/>
  <c r="I47" i="57"/>
  <c r="M46" i="57"/>
  <c r="I46" i="57"/>
  <c r="K45" i="57"/>
  <c r="M45" i="57" s="1"/>
  <c r="J45" i="57"/>
  <c r="I45" i="57" s="1"/>
  <c r="L41" i="57"/>
  <c r="J41" i="57"/>
  <c r="H41" i="57"/>
  <c r="M7" i="57" s="1"/>
  <c r="D40" i="57"/>
  <c r="K39" i="57"/>
  <c r="D39" i="57"/>
  <c r="X36" i="57"/>
  <c r="W36" i="57"/>
  <c r="V36" i="57"/>
  <c r="S36" i="57"/>
  <c r="X35" i="57"/>
  <c r="W35" i="57"/>
  <c r="V35" i="57"/>
  <c r="S35" i="57"/>
  <c r="J35" i="57"/>
  <c r="X34" i="57"/>
  <c r="W34" i="57"/>
  <c r="V34" i="57"/>
  <c r="S34" i="57"/>
  <c r="J34" i="57"/>
  <c r="X33" i="57"/>
  <c r="W33" i="57"/>
  <c r="V33" i="57"/>
  <c r="U33" i="57"/>
  <c r="S33" i="57"/>
  <c r="J33" i="57"/>
  <c r="X32" i="57"/>
  <c r="W32" i="57"/>
  <c r="V32" i="57"/>
  <c r="U32" i="57"/>
  <c r="C32" i="57"/>
  <c r="W31" i="57"/>
  <c r="V31" i="57"/>
  <c r="U31" i="57"/>
  <c r="X30" i="57"/>
  <c r="W30" i="57"/>
  <c r="V30" i="57"/>
  <c r="U30" i="57"/>
  <c r="X29" i="57"/>
  <c r="W29" i="57"/>
  <c r="V29" i="57"/>
  <c r="U29" i="57"/>
  <c r="C29" i="57"/>
  <c r="X28" i="57"/>
  <c r="W28" i="57"/>
  <c r="V28" i="57"/>
  <c r="U28" i="57"/>
  <c r="J28" i="57"/>
  <c r="I40" i="57" s="1"/>
  <c r="J40" i="57" s="1"/>
  <c r="C28" i="57"/>
  <c r="C30" i="57" s="1"/>
  <c r="X25" i="57"/>
  <c r="W25" i="57"/>
  <c r="V25" i="57"/>
  <c r="S25" i="57"/>
  <c r="O52" i="8"/>
  <c r="X24" i="57"/>
  <c r="W24" i="57"/>
  <c r="V24" i="57"/>
  <c r="U24" i="57"/>
  <c r="S24" i="57"/>
  <c r="X23" i="57"/>
  <c r="W23" i="57"/>
  <c r="V23" i="57"/>
  <c r="U23" i="57"/>
  <c r="S23" i="57"/>
  <c r="X22" i="57"/>
  <c r="W22" i="57"/>
  <c r="V22" i="57"/>
  <c r="S22" i="57"/>
  <c r="J22" i="57"/>
  <c r="X21" i="57"/>
  <c r="W21" i="57"/>
  <c r="V21" i="57"/>
  <c r="U21" i="57"/>
  <c r="S21" i="57"/>
  <c r="J21" i="57"/>
  <c r="D18" i="57"/>
  <c r="D17" i="57"/>
  <c r="D16" i="57"/>
  <c r="D15" i="57"/>
  <c r="M11" i="57"/>
  <c r="J27" i="56"/>
  <c r="O51" i="8" s="1"/>
  <c r="J23" i="56"/>
  <c r="J22" i="56"/>
  <c r="G77" i="56" s="1"/>
  <c r="H77" i="56" s="1"/>
  <c r="J21" i="56"/>
  <c r="G42" i="56" s="1"/>
  <c r="G95" i="56"/>
  <c r="H95" i="56" s="1"/>
  <c r="G94" i="56"/>
  <c r="H94" i="56" s="1"/>
  <c r="G93" i="56"/>
  <c r="D89" i="56"/>
  <c r="G85" i="56"/>
  <c r="G84" i="56"/>
  <c r="G83" i="56"/>
  <c r="G82" i="56"/>
  <c r="G81" i="56"/>
  <c r="G80" i="56"/>
  <c r="G76" i="56"/>
  <c r="D75" i="56"/>
  <c r="G71" i="56"/>
  <c r="G70" i="56"/>
  <c r="G69" i="56"/>
  <c r="G68" i="56"/>
  <c r="G67" i="56"/>
  <c r="G66" i="56"/>
  <c r="H66" i="56" s="1"/>
  <c r="G63" i="56"/>
  <c r="H63" i="56" s="1"/>
  <c r="G62" i="56"/>
  <c r="D61" i="56"/>
  <c r="K55" i="56"/>
  <c r="M55" i="56" s="1"/>
  <c r="J51" i="56"/>
  <c r="I51" i="56"/>
  <c r="K50" i="56"/>
  <c r="J50" i="56"/>
  <c r="I50" i="56"/>
  <c r="M49" i="56"/>
  <c r="J49" i="56"/>
  <c r="I49" i="56"/>
  <c r="M48" i="56"/>
  <c r="I48" i="56"/>
  <c r="K47" i="56"/>
  <c r="M47" i="56" s="1"/>
  <c r="J47" i="56"/>
  <c r="J55" i="56" s="1"/>
  <c r="I55" i="56" s="1"/>
  <c r="I47" i="56"/>
  <c r="L43" i="56"/>
  <c r="J43" i="56"/>
  <c r="H43" i="56"/>
  <c r="M7" i="56" s="1"/>
  <c r="D42" i="56"/>
  <c r="K41" i="56"/>
  <c r="D41" i="56"/>
  <c r="X38" i="56"/>
  <c r="W38" i="56"/>
  <c r="V38" i="56"/>
  <c r="S38" i="56"/>
  <c r="X37" i="56"/>
  <c r="W37" i="56"/>
  <c r="V37" i="56"/>
  <c r="S37" i="56"/>
  <c r="J37" i="56"/>
  <c r="X36" i="56"/>
  <c r="W36" i="56"/>
  <c r="V36" i="56"/>
  <c r="S36" i="56"/>
  <c r="J36" i="56"/>
  <c r="X35" i="56"/>
  <c r="W35" i="56"/>
  <c r="V35" i="56"/>
  <c r="U35" i="56"/>
  <c r="S35" i="56"/>
  <c r="J35" i="56"/>
  <c r="X34" i="56"/>
  <c r="W34" i="56"/>
  <c r="V34" i="56"/>
  <c r="U34" i="56"/>
  <c r="C34" i="56"/>
  <c r="W33" i="56"/>
  <c r="V33" i="56"/>
  <c r="U33" i="56"/>
  <c r="X32" i="56"/>
  <c r="W32" i="56"/>
  <c r="V32" i="56"/>
  <c r="U32" i="56"/>
  <c r="X31" i="56"/>
  <c r="W31" i="56"/>
  <c r="V31" i="56"/>
  <c r="U31" i="56"/>
  <c r="C31" i="56"/>
  <c r="X30" i="56"/>
  <c r="W30" i="56"/>
  <c r="V30" i="56"/>
  <c r="U30" i="56"/>
  <c r="U38" i="56" s="1"/>
  <c r="H46" i="56" s="1"/>
  <c r="J30" i="56"/>
  <c r="I42" i="56" s="1"/>
  <c r="J42" i="56" s="1"/>
  <c r="C30" i="56"/>
  <c r="C32" i="56" s="1"/>
  <c r="X27" i="56"/>
  <c r="W27" i="56"/>
  <c r="V27" i="56"/>
  <c r="S27" i="56"/>
  <c r="X26" i="56"/>
  <c r="W26" i="56"/>
  <c r="V26" i="56"/>
  <c r="U25" i="56"/>
  <c r="U24" i="56"/>
  <c r="X23" i="56"/>
  <c r="W23" i="56"/>
  <c r="V23" i="56"/>
  <c r="S23" i="56"/>
  <c r="X22" i="56"/>
  <c r="W22" i="56"/>
  <c r="V22" i="56"/>
  <c r="U22" i="56"/>
  <c r="S22" i="56"/>
  <c r="C22" i="56"/>
  <c r="X21" i="56"/>
  <c r="W21" i="56"/>
  <c r="V21" i="56"/>
  <c r="U21" i="56"/>
  <c r="S21" i="56"/>
  <c r="C21" i="56"/>
  <c r="D18" i="56"/>
  <c r="D17" i="56"/>
  <c r="D16" i="56"/>
  <c r="D15" i="56"/>
  <c r="M11" i="56"/>
  <c r="F36" i="55"/>
  <c r="M47" i="54"/>
  <c r="M46" i="54"/>
  <c r="M49" i="53"/>
  <c r="M48" i="53"/>
  <c r="M47" i="52"/>
  <c r="M46" i="52"/>
  <c r="M49" i="51"/>
  <c r="M48" i="51"/>
  <c r="M46" i="50"/>
  <c r="M45" i="50"/>
  <c r="M48" i="49"/>
  <c r="M47" i="49"/>
  <c r="K54" i="48"/>
  <c r="M54" i="48"/>
  <c r="M48" i="48"/>
  <c r="M47" i="48"/>
  <c r="M48" i="47"/>
  <c r="M47" i="47"/>
  <c r="M48" i="46"/>
  <c r="M47" i="46"/>
  <c r="M46" i="46"/>
  <c r="M48" i="45"/>
  <c r="M47" i="45"/>
  <c r="M46" i="45"/>
  <c r="M49" i="44"/>
  <c r="M48" i="44"/>
  <c r="M53" i="43"/>
  <c r="M52" i="43"/>
  <c r="M52" i="42"/>
  <c r="M51" i="42"/>
  <c r="M53" i="41"/>
  <c r="M52" i="41"/>
  <c r="M52" i="40"/>
  <c r="M51" i="40"/>
  <c r="M52" i="39"/>
  <c r="M51" i="39"/>
  <c r="M52" i="38"/>
  <c r="M51" i="38"/>
  <c r="M52" i="37"/>
  <c r="M51" i="37"/>
  <c r="M49" i="36"/>
  <c r="M48" i="36"/>
  <c r="M49" i="35"/>
  <c r="M48" i="35"/>
  <c r="M48" i="34"/>
  <c r="M47" i="34"/>
  <c r="M52" i="33"/>
  <c r="M49" i="33"/>
  <c r="M48" i="33"/>
  <c r="M50" i="32"/>
  <c r="M49" i="32"/>
  <c r="M49" i="31"/>
  <c r="M48" i="31"/>
  <c r="M50" i="30"/>
  <c r="M49" i="30"/>
  <c r="M48" i="29"/>
  <c r="F41" i="55"/>
  <c r="C41" i="55"/>
  <c r="H40" i="55"/>
  <c r="F40" i="55"/>
  <c r="C40" i="55"/>
  <c r="L36" i="55"/>
  <c r="N13" i="55"/>
  <c r="M12" i="55"/>
  <c r="M14" i="55" s="1"/>
  <c r="B6" i="55"/>
  <c r="B7" i="55" s="1"/>
  <c r="B8" i="55" s="1"/>
  <c r="B9" i="55" s="1"/>
  <c r="B10" i="55" s="1"/>
  <c r="B11" i="55" s="1"/>
  <c r="B12" i="55" s="1"/>
  <c r="B13" i="55" s="1"/>
  <c r="B14" i="55" s="1"/>
  <c r="B15" i="55" s="1"/>
  <c r="B16" i="55" s="1"/>
  <c r="B17" i="55" s="1"/>
  <c r="B18" i="55" s="1"/>
  <c r="N4" i="55"/>
  <c r="N2" i="55"/>
  <c r="P50" i="8"/>
  <c r="P49" i="8"/>
  <c r="J27" i="53"/>
  <c r="O49" i="8" s="1"/>
  <c r="J27" i="51"/>
  <c r="G93" i="54"/>
  <c r="H93" i="54" s="1"/>
  <c r="G92" i="54"/>
  <c r="H92" i="54" s="1"/>
  <c r="G91" i="54"/>
  <c r="D87" i="54"/>
  <c r="G83" i="54"/>
  <c r="G82" i="54"/>
  <c r="G81" i="54"/>
  <c r="G80" i="54"/>
  <c r="G79" i="54"/>
  <c r="G78" i="54"/>
  <c r="G74" i="54"/>
  <c r="D73" i="54"/>
  <c r="G69" i="54"/>
  <c r="G68" i="54"/>
  <c r="G67" i="54"/>
  <c r="G66" i="54"/>
  <c r="G65" i="54"/>
  <c r="G64" i="54"/>
  <c r="G61" i="54"/>
  <c r="H61" i="54" s="1"/>
  <c r="G60" i="54"/>
  <c r="D59" i="54"/>
  <c r="K53" i="54"/>
  <c r="M53" i="54" s="1"/>
  <c r="J49" i="54"/>
  <c r="I49" i="54"/>
  <c r="K48" i="54"/>
  <c r="J48" i="54"/>
  <c r="I48" i="54"/>
  <c r="J47" i="54"/>
  <c r="I47" i="54"/>
  <c r="I46" i="54"/>
  <c r="K45" i="54"/>
  <c r="M45" i="54" s="1"/>
  <c r="J45" i="54"/>
  <c r="L41" i="54"/>
  <c r="J41" i="54"/>
  <c r="H41" i="54"/>
  <c r="M7" i="54" s="1"/>
  <c r="D40" i="54"/>
  <c r="K39" i="54"/>
  <c r="D39" i="54"/>
  <c r="X36" i="54"/>
  <c r="W36" i="54"/>
  <c r="V36" i="54"/>
  <c r="S36" i="54"/>
  <c r="X35" i="54"/>
  <c r="W35" i="54"/>
  <c r="V35" i="54"/>
  <c r="S35" i="54"/>
  <c r="J35" i="54"/>
  <c r="X34" i="54"/>
  <c r="W34" i="54"/>
  <c r="V34" i="54"/>
  <c r="S34" i="54"/>
  <c r="J34" i="54"/>
  <c r="X33" i="54"/>
  <c r="W33" i="54"/>
  <c r="V33" i="54"/>
  <c r="U33" i="54"/>
  <c r="S33" i="54"/>
  <c r="J33" i="54"/>
  <c r="X32" i="54"/>
  <c r="W32" i="54"/>
  <c r="V32" i="54"/>
  <c r="U32" i="54"/>
  <c r="C32" i="54"/>
  <c r="W31" i="54"/>
  <c r="V31" i="54"/>
  <c r="U31" i="54"/>
  <c r="X30" i="54"/>
  <c r="W30" i="54"/>
  <c r="V30" i="54"/>
  <c r="U30" i="54"/>
  <c r="X29" i="54"/>
  <c r="W29" i="54"/>
  <c r="V29" i="54"/>
  <c r="U29" i="54"/>
  <c r="C29" i="54"/>
  <c r="X28" i="54"/>
  <c r="W28" i="54"/>
  <c r="V28" i="54"/>
  <c r="U28" i="54"/>
  <c r="U36" i="54" s="1"/>
  <c r="H44" i="54" s="1"/>
  <c r="J28" i="54"/>
  <c r="I40" i="54" s="1"/>
  <c r="J40" i="54" s="1"/>
  <c r="C28" i="54"/>
  <c r="C30" i="54" s="1"/>
  <c r="X25" i="54"/>
  <c r="W25" i="54"/>
  <c r="V25" i="54"/>
  <c r="S25" i="54"/>
  <c r="J25" i="54"/>
  <c r="O50" i="8" s="1"/>
  <c r="X24" i="54"/>
  <c r="W24" i="54"/>
  <c r="V24" i="54"/>
  <c r="U24" i="54"/>
  <c r="S24" i="54"/>
  <c r="J24" i="54"/>
  <c r="G75" i="54" s="1"/>
  <c r="H75" i="54" s="1"/>
  <c r="C24" i="54"/>
  <c r="X23" i="54"/>
  <c r="W23" i="54"/>
  <c r="V23" i="54"/>
  <c r="S23" i="54"/>
  <c r="J23" i="54"/>
  <c r="X22" i="54"/>
  <c r="W22" i="54"/>
  <c r="V22" i="54"/>
  <c r="S22" i="54"/>
  <c r="J22" i="54"/>
  <c r="C22" i="54"/>
  <c r="X21" i="54"/>
  <c r="W21" i="54"/>
  <c r="V21" i="54"/>
  <c r="U21" i="54"/>
  <c r="S21" i="54"/>
  <c r="J21" i="54"/>
  <c r="C21" i="54"/>
  <c r="D18" i="54"/>
  <c r="D17" i="54"/>
  <c r="D16" i="54"/>
  <c r="D15" i="54"/>
  <c r="M12" i="54"/>
  <c r="M11" i="54"/>
  <c r="G95" i="53"/>
  <c r="H95" i="53" s="1"/>
  <c r="G94" i="53"/>
  <c r="H94" i="53" s="1"/>
  <c r="G93" i="53"/>
  <c r="D89" i="53"/>
  <c r="G85" i="53"/>
  <c r="G84" i="53"/>
  <c r="G83" i="53"/>
  <c r="G82" i="53"/>
  <c r="G81" i="53"/>
  <c r="G80" i="53"/>
  <c r="G76" i="53"/>
  <c r="D75" i="53"/>
  <c r="G71" i="53"/>
  <c r="G70" i="53"/>
  <c r="G69" i="53"/>
  <c r="G68" i="53"/>
  <c r="G67" i="53"/>
  <c r="G66" i="53"/>
  <c r="G63" i="53"/>
  <c r="H63" i="53" s="1"/>
  <c r="G62" i="53"/>
  <c r="D61" i="53"/>
  <c r="K55" i="53"/>
  <c r="M55" i="53" s="1"/>
  <c r="J51" i="53"/>
  <c r="I51" i="53"/>
  <c r="K50" i="53"/>
  <c r="J50" i="53"/>
  <c r="J49" i="53"/>
  <c r="I49" i="53" s="1"/>
  <c r="I48" i="53"/>
  <c r="K47" i="53"/>
  <c r="J47" i="53"/>
  <c r="J55" i="53" s="1"/>
  <c r="I55" i="53" s="1"/>
  <c r="L43" i="53"/>
  <c r="J43" i="53"/>
  <c r="H43" i="53"/>
  <c r="M7" i="53" s="1"/>
  <c r="D42" i="53"/>
  <c r="K41" i="53"/>
  <c r="D41" i="53"/>
  <c r="X38" i="53"/>
  <c r="W38" i="53"/>
  <c r="V38" i="53"/>
  <c r="S38" i="53"/>
  <c r="X37" i="53"/>
  <c r="W37" i="53"/>
  <c r="V37" i="53"/>
  <c r="S37" i="53"/>
  <c r="J37" i="53"/>
  <c r="X36" i="53"/>
  <c r="W36" i="53"/>
  <c r="V36" i="53"/>
  <c r="S36" i="53"/>
  <c r="J36" i="53"/>
  <c r="X35" i="53"/>
  <c r="W35" i="53"/>
  <c r="V35" i="53"/>
  <c r="U35" i="53"/>
  <c r="S35" i="53"/>
  <c r="J35" i="53"/>
  <c r="X34" i="53"/>
  <c r="W34" i="53"/>
  <c r="V34" i="53"/>
  <c r="U34" i="53"/>
  <c r="C34" i="53"/>
  <c r="W33" i="53"/>
  <c r="V33" i="53"/>
  <c r="U33" i="53"/>
  <c r="X32" i="53"/>
  <c r="W32" i="53"/>
  <c r="V32" i="53"/>
  <c r="U32" i="53"/>
  <c r="X31" i="53"/>
  <c r="W31" i="53"/>
  <c r="V31" i="53"/>
  <c r="U31" i="53"/>
  <c r="C31" i="53"/>
  <c r="X30" i="53"/>
  <c r="W30" i="53"/>
  <c r="V30" i="53"/>
  <c r="U30" i="53"/>
  <c r="U38" i="53" s="1"/>
  <c r="H46" i="53" s="1"/>
  <c r="J30" i="53"/>
  <c r="I42" i="53" s="1"/>
  <c r="J42" i="53" s="1"/>
  <c r="C30" i="53"/>
  <c r="C32" i="53" s="1"/>
  <c r="X27" i="53"/>
  <c r="W27" i="53"/>
  <c r="V27" i="53"/>
  <c r="S27" i="53"/>
  <c r="X26" i="53"/>
  <c r="W26" i="53"/>
  <c r="V26" i="53"/>
  <c r="J25" i="53"/>
  <c r="U24" i="53"/>
  <c r="J24" i="53"/>
  <c r="G77" i="53" s="1"/>
  <c r="H77" i="53" s="1"/>
  <c r="C24" i="53"/>
  <c r="X23" i="53"/>
  <c r="W23" i="53"/>
  <c r="V23" i="53"/>
  <c r="U23" i="53"/>
  <c r="S23" i="53"/>
  <c r="J23" i="53"/>
  <c r="C23" i="53"/>
  <c r="X22" i="53"/>
  <c r="W22" i="53"/>
  <c r="V22" i="53"/>
  <c r="U22" i="53"/>
  <c r="S22" i="53"/>
  <c r="J22" i="53"/>
  <c r="C22" i="53"/>
  <c r="X21" i="53"/>
  <c r="W21" i="53"/>
  <c r="V21" i="53"/>
  <c r="U21" i="53"/>
  <c r="S21" i="53"/>
  <c r="J21" i="53"/>
  <c r="C21" i="53"/>
  <c r="D18" i="53"/>
  <c r="D17" i="53"/>
  <c r="D16" i="53"/>
  <c r="D15" i="53"/>
  <c r="M12" i="53" s="1"/>
  <c r="M11" i="53"/>
  <c r="J25" i="52"/>
  <c r="X24" i="52"/>
  <c r="W24" i="52"/>
  <c r="V24" i="52"/>
  <c r="S24" i="52"/>
  <c r="J24" i="52"/>
  <c r="C24" i="52"/>
  <c r="U24" i="51"/>
  <c r="J25" i="51"/>
  <c r="C25" i="51"/>
  <c r="J24" i="51"/>
  <c r="C24" i="51"/>
  <c r="G93" i="52"/>
  <c r="H93" i="52" s="1"/>
  <c r="G92" i="52"/>
  <c r="H92" i="52" s="1"/>
  <c r="G91" i="52"/>
  <c r="D87" i="52"/>
  <c r="G83" i="52"/>
  <c r="G82" i="52"/>
  <c r="G81" i="52"/>
  <c r="G80" i="52"/>
  <c r="G79" i="52"/>
  <c r="G78" i="52"/>
  <c r="G74" i="52"/>
  <c r="D73" i="52"/>
  <c r="G69" i="52"/>
  <c r="G68" i="52"/>
  <c r="G67" i="52"/>
  <c r="G66" i="52"/>
  <c r="G65" i="52"/>
  <c r="G64" i="52"/>
  <c r="G60" i="52"/>
  <c r="D59" i="52"/>
  <c r="K53" i="52"/>
  <c r="M53" i="52" s="1"/>
  <c r="J49" i="52"/>
  <c r="I49" i="52"/>
  <c r="K48" i="52"/>
  <c r="J48" i="52"/>
  <c r="I48" i="52" s="1"/>
  <c r="J47" i="52"/>
  <c r="I47" i="52"/>
  <c r="I46" i="52"/>
  <c r="K45" i="52"/>
  <c r="M45" i="52" s="1"/>
  <c r="J45" i="52"/>
  <c r="J53" i="52" s="1"/>
  <c r="I53" i="52" s="1"/>
  <c r="I45" i="52"/>
  <c r="L41" i="52"/>
  <c r="J41" i="52"/>
  <c r="H41" i="52"/>
  <c r="M7" i="52" s="1"/>
  <c r="D40" i="52"/>
  <c r="K39" i="52"/>
  <c r="D39" i="52"/>
  <c r="X36" i="52"/>
  <c r="W36" i="52"/>
  <c r="V36" i="52"/>
  <c r="S36" i="52"/>
  <c r="X35" i="52"/>
  <c r="W35" i="52"/>
  <c r="V35" i="52"/>
  <c r="S35" i="52"/>
  <c r="J35" i="52"/>
  <c r="X34" i="52"/>
  <c r="W34" i="52"/>
  <c r="V34" i="52"/>
  <c r="S34" i="52"/>
  <c r="J34" i="52"/>
  <c r="X33" i="52"/>
  <c r="W33" i="52"/>
  <c r="V33" i="52"/>
  <c r="U33" i="52"/>
  <c r="S33" i="52"/>
  <c r="J33" i="52"/>
  <c r="X32" i="52"/>
  <c r="W32" i="52"/>
  <c r="V32" i="52"/>
  <c r="U32" i="52"/>
  <c r="C32" i="52"/>
  <c r="W31" i="52"/>
  <c r="V31" i="52"/>
  <c r="U31" i="52"/>
  <c r="X30" i="52"/>
  <c r="W30" i="52"/>
  <c r="V30" i="52"/>
  <c r="U30" i="52"/>
  <c r="X29" i="52"/>
  <c r="W29" i="52"/>
  <c r="V29" i="52"/>
  <c r="U29" i="52"/>
  <c r="C29" i="52"/>
  <c r="X28" i="52"/>
  <c r="W28" i="52"/>
  <c r="V28" i="52"/>
  <c r="U28" i="52"/>
  <c r="U36" i="52" s="1"/>
  <c r="H44" i="52" s="1"/>
  <c r="J28" i="52"/>
  <c r="I40" i="52" s="1"/>
  <c r="J40" i="52" s="1"/>
  <c r="C28" i="52"/>
  <c r="C30" i="52" s="1"/>
  <c r="X25" i="52"/>
  <c r="W25" i="52"/>
  <c r="V25" i="52"/>
  <c r="S25" i="52"/>
  <c r="X23" i="52"/>
  <c r="W23" i="52"/>
  <c r="V23" i="52"/>
  <c r="S23" i="52"/>
  <c r="J23" i="52"/>
  <c r="C23" i="52"/>
  <c r="X22" i="52"/>
  <c r="W22" i="52"/>
  <c r="V22" i="52"/>
  <c r="S22" i="52"/>
  <c r="J22" i="52"/>
  <c r="C22" i="52"/>
  <c r="X21" i="52"/>
  <c r="W21" i="52"/>
  <c r="V21" i="52"/>
  <c r="U21" i="52"/>
  <c r="S21" i="52"/>
  <c r="J21" i="52"/>
  <c r="C21" i="52"/>
  <c r="D18" i="52"/>
  <c r="D17" i="52"/>
  <c r="D16" i="52"/>
  <c r="D15" i="52"/>
  <c r="M12" i="52" s="1"/>
  <c r="M11" i="52"/>
  <c r="P47" i="8"/>
  <c r="G95" i="51"/>
  <c r="H95" i="51" s="1"/>
  <c r="G94" i="51"/>
  <c r="H94" i="51" s="1"/>
  <c r="G93" i="51"/>
  <c r="D89" i="51"/>
  <c r="G85" i="51"/>
  <c r="G84" i="51"/>
  <c r="G83" i="51"/>
  <c r="G82" i="51"/>
  <c r="G81" i="51"/>
  <c r="G80" i="51"/>
  <c r="G76" i="51"/>
  <c r="D75" i="51"/>
  <c r="G71" i="51"/>
  <c r="G70" i="51"/>
  <c r="G69" i="51"/>
  <c r="G68" i="51"/>
  <c r="G67" i="51"/>
  <c r="G66" i="51"/>
  <c r="G63" i="51"/>
  <c r="H63" i="51" s="1"/>
  <c r="G62" i="51"/>
  <c r="D61" i="51"/>
  <c r="K55" i="51"/>
  <c r="M55" i="51" s="1"/>
  <c r="J51" i="51"/>
  <c r="I51" i="51"/>
  <c r="K50" i="51"/>
  <c r="J50" i="51"/>
  <c r="I50" i="51" s="1"/>
  <c r="J49" i="51"/>
  <c r="I49" i="51" s="1"/>
  <c r="I48" i="51"/>
  <c r="K47" i="51"/>
  <c r="M47" i="51" s="1"/>
  <c r="J47" i="51"/>
  <c r="J55" i="51" s="1"/>
  <c r="I55" i="51" s="1"/>
  <c r="I47" i="51"/>
  <c r="L43" i="51"/>
  <c r="J43" i="51"/>
  <c r="H43" i="51"/>
  <c r="M7" i="51" s="1"/>
  <c r="D42" i="51"/>
  <c r="K41" i="51"/>
  <c r="D41" i="51"/>
  <c r="X38" i="51"/>
  <c r="W38" i="51"/>
  <c r="V38" i="51"/>
  <c r="S38" i="51"/>
  <c r="X37" i="51"/>
  <c r="W37" i="51"/>
  <c r="V37" i="51"/>
  <c r="S37" i="51"/>
  <c r="J37" i="51"/>
  <c r="X36" i="51"/>
  <c r="W36" i="51"/>
  <c r="V36" i="51"/>
  <c r="S36" i="51"/>
  <c r="J36" i="51"/>
  <c r="X35" i="51"/>
  <c r="W35" i="51"/>
  <c r="V35" i="51"/>
  <c r="U35" i="51"/>
  <c r="S35" i="51"/>
  <c r="J35" i="51"/>
  <c r="X34" i="51"/>
  <c r="W34" i="51"/>
  <c r="V34" i="51"/>
  <c r="U34" i="51"/>
  <c r="C34" i="51"/>
  <c r="W33" i="51"/>
  <c r="V33" i="51"/>
  <c r="U33" i="51"/>
  <c r="X32" i="51"/>
  <c r="W32" i="51"/>
  <c r="V32" i="51"/>
  <c r="U32" i="51"/>
  <c r="X31" i="51"/>
  <c r="W31" i="51"/>
  <c r="V31" i="51"/>
  <c r="U31" i="51"/>
  <c r="C31" i="51"/>
  <c r="X30" i="51"/>
  <c r="W30" i="51"/>
  <c r="V30" i="51"/>
  <c r="U30" i="51"/>
  <c r="J30" i="51"/>
  <c r="I42" i="51" s="1"/>
  <c r="J42" i="51" s="1"/>
  <c r="C30" i="51"/>
  <c r="C32" i="51" s="1"/>
  <c r="X27" i="51"/>
  <c r="W27" i="51"/>
  <c r="V27" i="51"/>
  <c r="S27" i="51"/>
  <c r="O47" i="8"/>
  <c r="Q47" i="8" s="1"/>
  <c r="X26" i="51"/>
  <c r="W26" i="51"/>
  <c r="V26" i="51"/>
  <c r="J26" i="51"/>
  <c r="X23" i="51"/>
  <c r="W23" i="51"/>
  <c r="V23" i="51"/>
  <c r="S23" i="51"/>
  <c r="J23" i="51"/>
  <c r="C23" i="51"/>
  <c r="X22" i="51"/>
  <c r="W22" i="51"/>
  <c r="V22" i="51"/>
  <c r="U22" i="51"/>
  <c r="S22" i="51"/>
  <c r="J22" i="51"/>
  <c r="C22" i="51"/>
  <c r="X21" i="51"/>
  <c r="W21" i="51"/>
  <c r="V21" i="51"/>
  <c r="U21" i="51"/>
  <c r="S21" i="51"/>
  <c r="J21" i="51"/>
  <c r="G42" i="51" s="1"/>
  <c r="C21" i="51"/>
  <c r="D18" i="51"/>
  <c r="D17" i="51"/>
  <c r="D16" i="51"/>
  <c r="D15" i="51"/>
  <c r="M12" i="51" s="1"/>
  <c r="M11" i="51"/>
  <c r="K52" i="50"/>
  <c r="M52" i="50" s="1"/>
  <c r="J24" i="50"/>
  <c r="O46" i="8" s="1"/>
  <c r="J26" i="49"/>
  <c r="O45" i="8" s="1"/>
  <c r="P46" i="8"/>
  <c r="G92" i="50"/>
  <c r="H92" i="50" s="1"/>
  <c r="G91" i="50"/>
  <c r="H91" i="50" s="1"/>
  <c r="G90" i="50"/>
  <c r="D86" i="50"/>
  <c r="G82" i="50"/>
  <c r="G81" i="50"/>
  <c r="G80" i="50"/>
  <c r="G79" i="50"/>
  <c r="G78" i="50"/>
  <c r="G77" i="50"/>
  <c r="G73" i="50"/>
  <c r="H81" i="50" s="1"/>
  <c r="D72" i="50"/>
  <c r="G68" i="50"/>
  <c r="G67" i="50"/>
  <c r="G66" i="50"/>
  <c r="G65" i="50"/>
  <c r="H65" i="50" s="1"/>
  <c r="G64" i="50"/>
  <c r="G63" i="50"/>
  <c r="G59" i="50"/>
  <c r="D58" i="50"/>
  <c r="J48" i="50"/>
  <c r="I48" i="50"/>
  <c r="K47" i="50"/>
  <c r="J47" i="50"/>
  <c r="I47" i="50"/>
  <c r="J46" i="50"/>
  <c r="I46" i="50"/>
  <c r="I45" i="50"/>
  <c r="K44" i="50"/>
  <c r="M44" i="50" s="1"/>
  <c r="J44" i="50"/>
  <c r="J52" i="50" s="1"/>
  <c r="I52" i="50" s="1"/>
  <c r="I44" i="50"/>
  <c r="L40" i="50"/>
  <c r="J40" i="50"/>
  <c r="H40" i="50"/>
  <c r="D39" i="50"/>
  <c r="K38" i="50"/>
  <c r="D38" i="50"/>
  <c r="X35" i="50"/>
  <c r="W35" i="50"/>
  <c r="V35" i="50"/>
  <c r="S35" i="50"/>
  <c r="X34" i="50"/>
  <c r="W34" i="50"/>
  <c r="V34" i="50"/>
  <c r="S34" i="50"/>
  <c r="J34" i="50"/>
  <c r="X33" i="50"/>
  <c r="W33" i="50"/>
  <c r="V33" i="50"/>
  <c r="S33" i="50"/>
  <c r="J33" i="50"/>
  <c r="X32" i="50"/>
  <c r="W32" i="50"/>
  <c r="V32" i="50"/>
  <c r="U32" i="50"/>
  <c r="S32" i="50"/>
  <c r="J32" i="50"/>
  <c r="X31" i="50"/>
  <c r="W31" i="50"/>
  <c r="V31" i="50"/>
  <c r="U31" i="50"/>
  <c r="C31" i="50"/>
  <c r="W30" i="50"/>
  <c r="V30" i="50"/>
  <c r="U30" i="50"/>
  <c r="X29" i="50"/>
  <c r="W29" i="50"/>
  <c r="V29" i="50"/>
  <c r="U29" i="50"/>
  <c r="X28" i="50"/>
  <c r="W28" i="50"/>
  <c r="V28" i="50"/>
  <c r="U28" i="50"/>
  <c r="C28" i="50"/>
  <c r="X27" i="50"/>
  <c r="W27" i="50"/>
  <c r="V27" i="50"/>
  <c r="U27" i="50"/>
  <c r="J27" i="50"/>
  <c r="I39" i="50" s="1"/>
  <c r="J39" i="50" s="1"/>
  <c r="C27" i="50"/>
  <c r="C29" i="50" s="1"/>
  <c r="X24" i="50"/>
  <c r="W24" i="50"/>
  <c r="V24" i="50"/>
  <c r="S24" i="50"/>
  <c r="X23" i="50"/>
  <c r="W23" i="50"/>
  <c r="V23" i="50"/>
  <c r="U23" i="50"/>
  <c r="S23" i="50"/>
  <c r="J23" i="50"/>
  <c r="C23" i="50"/>
  <c r="X22" i="50"/>
  <c r="W22" i="50"/>
  <c r="V22" i="50"/>
  <c r="U22" i="50"/>
  <c r="S22" i="50"/>
  <c r="J22" i="50"/>
  <c r="C22" i="50"/>
  <c r="X21" i="50"/>
  <c r="W21" i="50"/>
  <c r="V21" i="50"/>
  <c r="U21" i="50"/>
  <c r="U24" i="50" s="1"/>
  <c r="H51" i="50" s="1"/>
  <c r="S21" i="50"/>
  <c r="J21" i="50"/>
  <c r="C21" i="50"/>
  <c r="D18" i="50"/>
  <c r="D17" i="50"/>
  <c r="D16" i="50"/>
  <c r="D15" i="50"/>
  <c r="M12" i="50" s="1"/>
  <c r="M11" i="50"/>
  <c r="M7" i="50"/>
  <c r="P45" i="8"/>
  <c r="G94" i="49"/>
  <c r="H94" i="49" s="1"/>
  <c r="G93" i="49"/>
  <c r="H93" i="49" s="1"/>
  <c r="G92" i="49"/>
  <c r="D88" i="49"/>
  <c r="G84" i="49"/>
  <c r="G83" i="49"/>
  <c r="G82" i="49"/>
  <c r="H82" i="49" s="1"/>
  <c r="G81" i="49"/>
  <c r="H81" i="49" s="1"/>
  <c r="G80" i="49"/>
  <c r="H80" i="49" s="1"/>
  <c r="G79" i="49"/>
  <c r="G75" i="49"/>
  <c r="D74" i="49"/>
  <c r="G70" i="49"/>
  <c r="G69" i="49"/>
  <c r="G68" i="49"/>
  <c r="H68" i="49" s="1"/>
  <c r="G67" i="49"/>
  <c r="G66" i="49"/>
  <c r="G65" i="49"/>
  <c r="G62" i="49"/>
  <c r="H62" i="49" s="1"/>
  <c r="G61" i="49"/>
  <c r="D60" i="49"/>
  <c r="K54" i="49"/>
  <c r="M54" i="49" s="1"/>
  <c r="J50" i="49"/>
  <c r="I50" i="49"/>
  <c r="K49" i="49"/>
  <c r="J49" i="49"/>
  <c r="I49" i="49"/>
  <c r="J48" i="49"/>
  <c r="I48" i="49"/>
  <c r="I47" i="49"/>
  <c r="K46" i="49"/>
  <c r="M46" i="49" s="1"/>
  <c r="J46" i="49"/>
  <c r="J54" i="49" s="1"/>
  <c r="I54" i="49" s="1"/>
  <c r="I46" i="49"/>
  <c r="L42" i="49"/>
  <c r="J42" i="49"/>
  <c r="H42" i="49"/>
  <c r="M7" i="49" s="1"/>
  <c r="D41" i="49"/>
  <c r="K40" i="49"/>
  <c r="D40" i="49"/>
  <c r="X37" i="49"/>
  <c r="W37" i="49"/>
  <c r="V37" i="49"/>
  <c r="S37" i="49"/>
  <c r="X36" i="49"/>
  <c r="W36" i="49"/>
  <c r="V36" i="49"/>
  <c r="S36" i="49"/>
  <c r="J36" i="49"/>
  <c r="X35" i="49"/>
  <c r="W35" i="49"/>
  <c r="V35" i="49"/>
  <c r="S35" i="49"/>
  <c r="J35" i="49"/>
  <c r="X34" i="49"/>
  <c r="W34" i="49"/>
  <c r="V34" i="49"/>
  <c r="U34" i="49"/>
  <c r="S34" i="49"/>
  <c r="J34" i="49"/>
  <c r="X33" i="49"/>
  <c r="W33" i="49"/>
  <c r="V33" i="49"/>
  <c r="U33" i="49"/>
  <c r="C33" i="49"/>
  <c r="W32" i="49"/>
  <c r="V32" i="49"/>
  <c r="U32" i="49"/>
  <c r="X31" i="49"/>
  <c r="W31" i="49"/>
  <c r="V31" i="49"/>
  <c r="U31" i="49"/>
  <c r="X30" i="49"/>
  <c r="W30" i="49"/>
  <c r="V30" i="49"/>
  <c r="U30" i="49"/>
  <c r="C30" i="49"/>
  <c r="X29" i="49"/>
  <c r="W29" i="49"/>
  <c r="V29" i="49"/>
  <c r="U29" i="49"/>
  <c r="J29" i="49"/>
  <c r="C29" i="49"/>
  <c r="C31" i="49" s="1"/>
  <c r="X26" i="49"/>
  <c r="W26" i="49"/>
  <c r="V26" i="49"/>
  <c r="S26" i="49"/>
  <c r="X25" i="49"/>
  <c r="W25" i="49"/>
  <c r="V25" i="49"/>
  <c r="J25" i="49"/>
  <c r="X23" i="49"/>
  <c r="W23" i="49"/>
  <c r="V23" i="49"/>
  <c r="U23" i="49"/>
  <c r="S23" i="49"/>
  <c r="J23" i="49"/>
  <c r="C23" i="49"/>
  <c r="X22" i="49"/>
  <c r="W22" i="49"/>
  <c r="V22" i="49"/>
  <c r="U22" i="49"/>
  <c r="S22" i="49"/>
  <c r="J22" i="49"/>
  <c r="G76" i="49" s="1"/>
  <c r="H76" i="49" s="1"/>
  <c r="C22" i="49"/>
  <c r="X21" i="49"/>
  <c r="W21" i="49"/>
  <c r="V21" i="49"/>
  <c r="U21" i="49"/>
  <c r="S21" i="49"/>
  <c r="J21" i="49"/>
  <c r="G41" i="49" s="1"/>
  <c r="C21" i="49"/>
  <c r="D18" i="49"/>
  <c r="D17" i="49"/>
  <c r="D16" i="49"/>
  <c r="D15" i="49"/>
  <c r="M12" i="49" s="1"/>
  <c r="M11" i="49"/>
  <c r="U25" i="48"/>
  <c r="U24" i="48"/>
  <c r="P44" i="8"/>
  <c r="P43" i="8"/>
  <c r="P42" i="8"/>
  <c r="J26" i="48"/>
  <c r="O44" i="8" s="1"/>
  <c r="J25" i="48"/>
  <c r="C25" i="48"/>
  <c r="G94" i="48"/>
  <c r="H94" i="48" s="1"/>
  <c r="G93" i="48"/>
  <c r="H93" i="48" s="1"/>
  <c r="G92" i="48"/>
  <c r="D88" i="48"/>
  <c r="G84" i="48"/>
  <c r="G83" i="48"/>
  <c r="G82" i="48"/>
  <c r="G81" i="48"/>
  <c r="G80" i="48"/>
  <c r="G79" i="48"/>
  <c r="G76" i="48"/>
  <c r="H76" i="48" s="1"/>
  <c r="G75" i="48"/>
  <c r="D74" i="48"/>
  <c r="G70" i="48"/>
  <c r="G69" i="48"/>
  <c r="G68" i="48"/>
  <c r="G67" i="48"/>
  <c r="G66" i="48"/>
  <c r="G65" i="48"/>
  <c r="G61" i="48"/>
  <c r="D60" i="48"/>
  <c r="J50" i="48"/>
  <c r="I50" i="48"/>
  <c r="K49" i="48"/>
  <c r="J49" i="48"/>
  <c r="I49" i="48"/>
  <c r="J48" i="48"/>
  <c r="I48" i="48"/>
  <c r="I47" i="48"/>
  <c r="K46" i="48"/>
  <c r="M46" i="48" s="1"/>
  <c r="J46" i="48"/>
  <c r="L42" i="48"/>
  <c r="J42" i="48"/>
  <c r="H42" i="48"/>
  <c r="M7" i="48" s="1"/>
  <c r="D41" i="48"/>
  <c r="K40" i="48"/>
  <c r="D40" i="48"/>
  <c r="X37" i="48"/>
  <c r="W37" i="48"/>
  <c r="V37" i="48"/>
  <c r="S37" i="48"/>
  <c r="X36" i="48"/>
  <c r="W36" i="48"/>
  <c r="V36" i="48"/>
  <c r="S36" i="48"/>
  <c r="J36" i="48"/>
  <c r="X35" i="48"/>
  <c r="W35" i="48"/>
  <c r="V35" i="48"/>
  <c r="S35" i="48"/>
  <c r="J35" i="48"/>
  <c r="X34" i="48"/>
  <c r="W34" i="48"/>
  <c r="V34" i="48"/>
  <c r="U34" i="48"/>
  <c r="S34" i="48"/>
  <c r="J34" i="48"/>
  <c r="X33" i="48"/>
  <c r="W33" i="48"/>
  <c r="V33" i="48"/>
  <c r="U33" i="48"/>
  <c r="C33" i="48"/>
  <c r="W32" i="48"/>
  <c r="V32" i="48"/>
  <c r="U32" i="48"/>
  <c r="X31" i="48"/>
  <c r="W31" i="48"/>
  <c r="V31" i="48"/>
  <c r="U31" i="48"/>
  <c r="X30" i="48"/>
  <c r="W30" i="48"/>
  <c r="V30" i="48"/>
  <c r="U30" i="48"/>
  <c r="C30" i="48"/>
  <c r="X29" i="48"/>
  <c r="W29" i="48"/>
  <c r="V29" i="48"/>
  <c r="U29" i="48"/>
  <c r="J29" i="48"/>
  <c r="C29" i="48"/>
  <c r="C31" i="48" s="1"/>
  <c r="X26" i="48"/>
  <c r="W26" i="48"/>
  <c r="V26" i="48"/>
  <c r="S26" i="48"/>
  <c r="X25" i="48"/>
  <c r="W25" i="48"/>
  <c r="V25" i="48"/>
  <c r="J24" i="48"/>
  <c r="C24" i="48"/>
  <c r="X23" i="48"/>
  <c r="W23" i="48"/>
  <c r="V23" i="48"/>
  <c r="S23" i="48"/>
  <c r="J23" i="48"/>
  <c r="G62" i="48" s="1"/>
  <c r="H62" i="48" s="1"/>
  <c r="C23" i="48"/>
  <c r="X22" i="48"/>
  <c r="W22" i="48"/>
  <c r="V22" i="48"/>
  <c r="U22" i="48"/>
  <c r="S22" i="48"/>
  <c r="J22" i="48"/>
  <c r="C22" i="48"/>
  <c r="X21" i="48"/>
  <c r="W21" i="48"/>
  <c r="V21" i="48"/>
  <c r="U21" i="48"/>
  <c r="S21" i="48"/>
  <c r="J21" i="48"/>
  <c r="C21" i="48"/>
  <c r="D18" i="48"/>
  <c r="D17" i="48"/>
  <c r="D16" i="48"/>
  <c r="D15" i="48"/>
  <c r="M11" i="48"/>
  <c r="G94" i="47"/>
  <c r="H94" i="47" s="1"/>
  <c r="G93" i="47"/>
  <c r="H93" i="47" s="1"/>
  <c r="G92" i="47"/>
  <c r="D88" i="47"/>
  <c r="G84" i="47"/>
  <c r="G83" i="47"/>
  <c r="G82" i="47"/>
  <c r="G81" i="47"/>
  <c r="G80" i="47"/>
  <c r="G79" i="47"/>
  <c r="G76" i="47"/>
  <c r="H76" i="47" s="1"/>
  <c r="G75" i="47"/>
  <c r="D74" i="47"/>
  <c r="G70" i="47"/>
  <c r="G69" i="47"/>
  <c r="G68" i="47"/>
  <c r="G67" i="47"/>
  <c r="G66" i="47"/>
  <c r="G65" i="47"/>
  <c r="G61" i="47"/>
  <c r="D60" i="47"/>
  <c r="K54" i="47"/>
  <c r="M54" i="47" s="1"/>
  <c r="J50" i="47"/>
  <c r="I50" i="47"/>
  <c r="K49" i="47"/>
  <c r="J49" i="47"/>
  <c r="I49" i="47"/>
  <c r="J48" i="47"/>
  <c r="I48" i="47"/>
  <c r="I47" i="47"/>
  <c r="K46" i="47"/>
  <c r="M46" i="47" s="1"/>
  <c r="J46" i="47"/>
  <c r="J54" i="47" s="1"/>
  <c r="I54" i="47" s="1"/>
  <c r="I46" i="47"/>
  <c r="L42" i="47"/>
  <c r="J42" i="47"/>
  <c r="H42" i="47"/>
  <c r="D41" i="47"/>
  <c r="K40" i="47"/>
  <c r="D40" i="47"/>
  <c r="X37" i="47"/>
  <c r="W37" i="47"/>
  <c r="V37" i="47"/>
  <c r="S37" i="47"/>
  <c r="X36" i="47"/>
  <c r="W36" i="47"/>
  <c r="V36" i="47"/>
  <c r="S36" i="47"/>
  <c r="J36" i="47"/>
  <c r="X35" i="47"/>
  <c r="W35" i="47"/>
  <c r="V35" i="47"/>
  <c r="S35" i="47"/>
  <c r="J35" i="47"/>
  <c r="X34" i="47"/>
  <c r="W34" i="47"/>
  <c r="V34" i="47"/>
  <c r="U34" i="47"/>
  <c r="S34" i="47"/>
  <c r="J34" i="47"/>
  <c r="X33" i="47"/>
  <c r="W33" i="47"/>
  <c r="V33" i="47"/>
  <c r="U33" i="47"/>
  <c r="C33" i="47"/>
  <c r="W32" i="47"/>
  <c r="V32" i="47"/>
  <c r="U32" i="47"/>
  <c r="X31" i="47"/>
  <c r="W31" i="47"/>
  <c r="V31" i="47"/>
  <c r="U31" i="47"/>
  <c r="X30" i="47"/>
  <c r="W30" i="47"/>
  <c r="V30" i="47"/>
  <c r="U30" i="47"/>
  <c r="C30" i="47"/>
  <c r="X29" i="47"/>
  <c r="W29" i="47"/>
  <c r="V29" i="47"/>
  <c r="U29" i="47"/>
  <c r="U37" i="47" s="1"/>
  <c r="H45" i="47" s="1"/>
  <c r="J29" i="47"/>
  <c r="I41" i="47" s="1"/>
  <c r="J41" i="47" s="1"/>
  <c r="C29" i="47"/>
  <c r="C31" i="47" s="1"/>
  <c r="X26" i="47"/>
  <c r="W26" i="47"/>
  <c r="V26" i="47"/>
  <c r="S26" i="47"/>
  <c r="J26" i="47"/>
  <c r="O43" i="8" s="1"/>
  <c r="X25" i="47"/>
  <c r="W25" i="47"/>
  <c r="V25" i="47"/>
  <c r="J25" i="47"/>
  <c r="X23" i="47"/>
  <c r="W23" i="47"/>
  <c r="V23" i="47"/>
  <c r="U23" i="47"/>
  <c r="S23" i="47"/>
  <c r="J23" i="47"/>
  <c r="G62" i="47" s="1"/>
  <c r="H62" i="47" s="1"/>
  <c r="C23" i="47"/>
  <c r="X22" i="47"/>
  <c r="W22" i="47"/>
  <c r="V22" i="47"/>
  <c r="U22" i="47"/>
  <c r="S22" i="47"/>
  <c r="J22" i="47"/>
  <c r="C22" i="47"/>
  <c r="X21" i="47"/>
  <c r="W21" i="47"/>
  <c r="V21" i="47"/>
  <c r="U21" i="47"/>
  <c r="S21" i="47"/>
  <c r="J21" i="47"/>
  <c r="G41" i="47" s="1"/>
  <c r="C21" i="47"/>
  <c r="D18" i="47"/>
  <c r="D17" i="47"/>
  <c r="D16" i="47"/>
  <c r="D15" i="47"/>
  <c r="M12" i="47"/>
  <c r="M11" i="47"/>
  <c r="M7" i="47"/>
  <c r="J26" i="46"/>
  <c r="O42" i="8" s="1"/>
  <c r="J24" i="46"/>
  <c r="C24" i="46"/>
  <c r="J23" i="46"/>
  <c r="G62" i="46" s="1"/>
  <c r="H62" i="46" s="1"/>
  <c r="J21" i="46"/>
  <c r="J22" i="46"/>
  <c r="G94" i="46"/>
  <c r="H94" i="46" s="1"/>
  <c r="G93" i="46"/>
  <c r="H93" i="46" s="1"/>
  <c r="G92" i="46"/>
  <c r="D88" i="46"/>
  <c r="G84" i="46"/>
  <c r="G83" i="46"/>
  <c r="G82" i="46"/>
  <c r="G81" i="46"/>
  <c r="G80" i="46"/>
  <c r="G79" i="46"/>
  <c r="G76" i="46"/>
  <c r="H76" i="46" s="1"/>
  <c r="G75" i="46"/>
  <c r="D74" i="46"/>
  <c r="G70" i="46"/>
  <c r="G69" i="46"/>
  <c r="G68" i="46"/>
  <c r="G67" i="46"/>
  <c r="H67" i="46" s="1"/>
  <c r="G66" i="46"/>
  <c r="G65" i="46"/>
  <c r="H65" i="46" s="1"/>
  <c r="G61" i="46"/>
  <c r="D60" i="46"/>
  <c r="K54" i="46"/>
  <c r="M54" i="46" s="1"/>
  <c r="J50" i="46"/>
  <c r="I50" i="46"/>
  <c r="K49" i="46"/>
  <c r="J49" i="46"/>
  <c r="I49" i="46"/>
  <c r="J48" i="46"/>
  <c r="I48" i="46"/>
  <c r="I47" i="46"/>
  <c r="K46" i="46"/>
  <c r="J46" i="46"/>
  <c r="J54" i="46" s="1"/>
  <c r="I54" i="46" s="1"/>
  <c r="I46" i="46"/>
  <c r="L42" i="46"/>
  <c r="J42" i="46"/>
  <c r="H42" i="46"/>
  <c r="M7" i="46" s="1"/>
  <c r="D41" i="46"/>
  <c r="K40" i="46"/>
  <c r="D40" i="46"/>
  <c r="X37" i="46"/>
  <c r="W37" i="46"/>
  <c r="V37" i="46"/>
  <c r="S37" i="46"/>
  <c r="X36" i="46"/>
  <c r="W36" i="46"/>
  <c r="V36" i="46"/>
  <c r="S36" i="46"/>
  <c r="J36" i="46"/>
  <c r="X35" i="46"/>
  <c r="W35" i="46"/>
  <c r="V35" i="46"/>
  <c r="S35" i="46"/>
  <c r="J35" i="46"/>
  <c r="X34" i="46"/>
  <c r="W34" i="46"/>
  <c r="V34" i="46"/>
  <c r="U34" i="46"/>
  <c r="S34" i="46"/>
  <c r="J34" i="46"/>
  <c r="X33" i="46"/>
  <c r="W33" i="46"/>
  <c r="V33" i="46"/>
  <c r="U33" i="46"/>
  <c r="C33" i="46"/>
  <c r="W32" i="46"/>
  <c r="V32" i="46"/>
  <c r="U32" i="46"/>
  <c r="X31" i="46"/>
  <c r="W31" i="46"/>
  <c r="V31" i="46"/>
  <c r="U31" i="46"/>
  <c r="X30" i="46"/>
  <c r="W30" i="46"/>
  <c r="V30" i="46"/>
  <c r="U30" i="46"/>
  <c r="C30" i="46"/>
  <c r="X29" i="46"/>
  <c r="W29" i="46"/>
  <c r="V29" i="46"/>
  <c r="U29" i="46"/>
  <c r="U37" i="46" s="1"/>
  <c r="H45" i="46" s="1"/>
  <c r="J29" i="46"/>
  <c r="I41" i="46" s="1"/>
  <c r="J41" i="46" s="1"/>
  <c r="C29" i="46"/>
  <c r="C31" i="46" s="1"/>
  <c r="X26" i="46"/>
  <c r="W26" i="46"/>
  <c r="V26" i="46"/>
  <c r="S26" i="46"/>
  <c r="X25" i="46"/>
  <c r="W25" i="46"/>
  <c r="V25" i="46"/>
  <c r="X23" i="46"/>
  <c r="W23" i="46"/>
  <c r="V23" i="46"/>
  <c r="S23" i="46"/>
  <c r="C23" i="46"/>
  <c r="X22" i="46"/>
  <c r="W22" i="46"/>
  <c r="V22" i="46"/>
  <c r="U22" i="46"/>
  <c r="S22" i="46"/>
  <c r="C22" i="46"/>
  <c r="X21" i="46"/>
  <c r="W21" i="46"/>
  <c r="V21" i="46"/>
  <c r="U21" i="46"/>
  <c r="S21" i="46"/>
  <c r="C21" i="46"/>
  <c r="D18" i="46"/>
  <c r="D17" i="46"/>
  <c r="D16" i="46"/>
  <c r="D15" i="46"/>
  <c r="M12" i="46"/>
  <c r="M11" i="46"/>
  <c r="P41" i="8"/>
  <c r="J26" i="45"/>
  <c r="O41" i="8" s="1"/>
  <c r="G94" i="45"/>
  <c r="H94" i="45" s="1"/>
  <c r="G93" i="45"/>
  <c r="H93" i="45" s="1"/>
  <c r="G92" i="45"/>
  <c r="D88" i="45"/>
  <c r="G84" i="45"/>
  <c r="G83" i="45"/>
  <c r="G82" i="45"/>
  <c r="G81" i="45"/>
  <c r="G80" i="45"/>
  <c r="G79" i="45"/>
  <c r="G76" i="45"/>
  <c r="H76" i="45" s="1"/>
  <c r="G75" i="45"/>
  <c r="D74" i="45"/>
  <c r="G70" i="45"/>
  <c r="G69" i="45"/>
  <c r="G68" i="45"/>
  <c r="G67" i="45"/>
  <c r="G66" i="45"/>
  <c r="G65" i="45"/>
  <c r="G61" i="45"/>
  <c r="D60" i="45"/>
  <c r="K54" i="45"/>
  <c r="M54" i="45" s="1"/>
  <c r="J50" i="45"/>
  <c r="I50" i="45"/>
  <c r="K49" i="45"/>
  <c r="J49" i="45"/>
  <c r="I49" i="45"/>
  <c r="J48" i="45"/>
  <c r="I48" i="45"/>
  <c r="I47" i="45"/>
  <c r="K46" i="45"/>
  <c r="J46" i="45"/>
  <c r="J54" i="45" s="1"/>
  <c r="I46" i="45"/>
  <c r="L42" i="45"/>
  <c r="J42" i="45"/>
  <c r="H42" i="45"/>
  <c r="M7" i="45" s="1"/>
  <c r="D41" i="45"/>
  <c r="K40" i="45"/>
  <c r="D40" i="45"/>
  <c r="X37" i="45"/>
  <c r="W37" i="45"/>
  <c r="V37" i="45"/>
  <c r="S37" i="45"/>
  <c r="X36" i="45"/>
  <c r="W36" i="45"/>
  <c r="V36" i="45"/>
  <c r="S36" i="45"/>
  <c r="J36" i="45"/>
  <c r="X35" i="45"/>
  <c r="W35" i="45"/>
  <c r="V35" i="45"/>
  <c r="S35" i="45"/>
  <c r="J35" i="45"/>
  <c r="X34" i="45"/>
  <c r="W34" i="45"/>
  <c r="V34" i="45"/>
  <c r="U34" i="45"/>
  <c r="S34" i="45"/>
  <c r="J34" i="45"/>
  <c r="X33" i="45"/>
  <c r="W33" i="45"/>
  <c r="V33" i="45"/>
  <c r="U33" i="45"/>
  <c r="C33" i="45"/>
  <c r="W32" i="45"/>
  <c r="V32" i="45"/>
  <c r="U32" i="45"/>
  <c r="X31" i="45"/>
  <c r="W31" i="45"/>
  <c r="V31" i="45"/>
  <c r="U31" i="45"/>
  <c r="X30" i="45"/>
  <c r="W30" i="45"/>
  <c r="V30" i="45"/>
  <c r="U30" i="45"/>
  <c r="C30" i="45"/>
  <c r="X29" i="45"/>
  <c r="W29" i="45"/>
  <c r="V29" i="45"/>
  <c r="U29" i="45"/>
  <c r="J29" i="45"/>
  <c r="I41" i="45" s="1"/>
  <c r="J41" i="45" s="1"/>
  <c r="C29" i="45"/>
  <c r="C31" i="45" s="1"/>
  <c r="X26" i="45"/>
  <c r="W26" i="45"/>
  <c r="V26" i="45"/>
  <c r="S26" i="45"/>
  <c r="X25" i="45"/>
  <c r="W25" i="45"/>
  <c r="V25" i="45"/>
  <c r="J25" i="45"/>
  <c r="X23" i="45"/>
  <c r="W23" i="45"/>
  <c r="V23" i="45"/>
  <c r="S23" i="45"/>
  <c r="J23" i="45"/>
  <c r="G62" i="45" s="1"/>
  <c r="H62" i="45" s="1"/>
  <c r="C23" i="45"/>
  <c r="X22" i="45"/>
  <c r="W22" i="45"/>
  <c r="V22" i="45"/>
  <c r="S22" i="45"/>
  <c r="J22" i="45"/>
  <c r="C22" i="45"/>
  <c r="X21" i="45"/>
  <c r="W21" i="45"/>
  <c r="V21" i="45"/>
  <c r="S21" i="45"/>
  <c r="J21" i="45"/>
  <c r="G41" i="45" s="1"/>
  <c r="C21" i="45"/>
  <c r="D18" i="45"/>
  <c r="D17" i="45"/>
  <c r="D16" i="45"/>
  <c r="D15" i="45"/>
  <c r="M12" i="45" s="1"/>
  <c r="M11" i="45"/>
  <c r="P40" i="8"/>
  <c r="P39" i="8"/>
  <c r="P38" i="8"/>
  <c r="P37" i="8"/>
  <c r="J30" i="42"/>
  <c r="O38" i="8" s="1"/>
  <c r="H59" i="39"/>
  <c r="J59" i="39"/>
  <c r="J51" i="44"/>
  <c r="I51" i="44"/>
  <c r="J55" i="43"/>
  <c r="I55" i="43" s="1"/>
  <c r="J54" i="42"/>
  <c r="I54" i="42" s="1"/>
  <c r="J55" i="41"/>
  <c r="I55" i="41"/>
  <c r="J30" i="40"/>
  <c r="O36" i="8" s="1"/>
  <c r="P36" i="8"/>
  <c r="P35" i="8"/>
  <c r="J54" i="40"/>
  <c r="I54" i="40"/>
  <c r="J54" i="39"/>
  <c r="I54" i="39"/>
  <c r="P34" i="8"/>
  <c r="P33" i="8"/>
  <c r="J54" i="38"/>
  <c r="I54" i="38" s="1"/>
  <c r="J54" i="37"/>
  <c r="H59" i="37"/>
  <c r="J59" i="37"/>
  <c r="I33" i="55" l="1"/>
  <c r="I32" i="55"/>
  <c r="I34" i="55"/>
  <c r="H33" i="55"/>
  <c r="H32" i="55"/>
  <c r="H34" i="55"/>
  <c r="H82" i="68"/>
  <c r="H84" i="68"/>
  <c r="H83" i="68"/>
  <c r="H81" i="68"/>
  <c r="H71" i="68"/>
  <c r="H69" i="68"/>
  <c r="H67" i="68"/>
  <c r="H85" i="68"/>
  <c r="H70" i="68"/>
  <c r="H68" i="68"/>
  <c r="G78" i="68"/>
  <c r="H78" i="68" s="1"/>
  <c r="G64" i="68"/>
  <c r="H64" i="68" s="1"/>
  <c r="H85" i="67"/>
  <c r="H73" i="67"/>
  <c r="H71" i="67"/>
  <c r="U40" i="67"/>
  <c r="H48" i="67" s="1"/>
  <c r="I57" i="67"/>
  <c r="H88" i="67"/>
  <c r="H72" i="67"/>
  <c r="H87" i="67"/>
  <c r="H86" i="67"/>
  <c r="H74" i="67"/>
  <c r="H70" i="67"/>
  <c r="U29" i="67"/>
  <c r="H56" i="67" s="1"/>
  <c r="G81" i="67"/>
  <c r="H81" i="67" s="1"/>
  <c r="G67" i="67"/>
  <c r="H67" i="67" s="1"/>
  <c r="G44" i="67"/>
  <c r="H44" i="67" s="1"/>
  <c r="G96" i="68"/>
  <c r="H93" i="68"/>
  <c r="G86" i="68"/>
  <c r="H80" i="68"/>
  <c r="H66" i="68"/>
  <c r="G72" i="68"/>
  <c r="I45" i="68"/>
  <c r="I51" i="68" s="1"/>
  <c r="F62" i="8" s="1"/>
  <c r="M45" i="68"/>
  <c r="I53" i="68"/>
  <c r="E62" i="8" s="1"/>
  <c r="M53" i="68"/>
  <c r="H41" i="68"/>
  <c r="K41" i="68"/>
  <c r="L41" i="68" s="1"/>
  <c r="M6" i="68"/>
  <c r="H96" i="67"/>
  <c r="G99" i="67"/>
  <c r="G89" i="67"/>
  <c r="H83" i="67"/>
  <c r="G75" i="67"/>
  <c r="H69" i="67"/>
  <c r="I48" i="67"/>
  <c r="I54" i="67" s="1"/>
  <c r="F61" i="8" s="1"/>
  <c r="M48" i="67"/>
  <c r="G34" i="55" s="1"/>
  <c r="K44" i="67"/>
  <c r="L44" i="67" s="1"/>
  <c r="M6" i="67"/>
  <c r="G25" i="64"/>
  <c r="H3" i="64"/>
  <c r="H73" i="65"/>
  <c r="H70" i="65"/>
  <c r="H87" i="65"/>
  <c r="H72" i="65"/>
  <c r="H71" i="65"/>
  <c r="H69" i="65"/>
  <c r="M12" i="65"/>
  <c r="G41" i="66"/>
  <c r="G43" i="65"/>
  <c r="G80" i="65"/>
  <c r="H80" i="65" s="1"/>
  <c r="U28" i="65"/>
  <c r="H55" i="65" s="1"/>
  <c r="G66" i="65"/>
  <c r="H66" i="65" s="1"/>
  <c r="H95" i="65"/>
  <c r="G98" i="65"/>
  <c r="H82" i="65"/>
  <c r="G88" i="65"/>
  <c r="H68" i="65"/>
  <c r="G74" i="65"/>
  <c r="Q58" i="8"/>
  <c r="M72" i="8"/>
  <c r="M71" i="8"/>
  <c r="H71" i="8"/>
  <c r="M70" i="8"/>
  <c r="M69" i="8"/>
  <c r="H69" i="8"/>
  <c r="M68" i="8"/>
  <c r="M67" i="8"/>
  <c r="H67" i="8"/>
  <c r="X68" i="8" s="1"/>
  <c r="X67" i="8"/>
  <c r="M66" i="8"/>
  <c r="M65" i="8"/>
  <c r="H65" i="8"/>
  <c r="X65" i="8"/>
  <c r="G95" i="66"/>
  <c r="H92" i="66"/>
  <c r="G85" i="66"/>
  <c r="H79" i="66"/>
  <c r="G71" i="66"/>
  <c r="H65" i="66"/>
  <c r="M46" i="66"/>
  <c r="I46" i="66"/>
  <c r="I45" i="66"/>
  <c r="I51" i="66" s="1"/>
  <c r="M45" i="66"/>
  <c r="M53" i="66"/>
  <c r="I53" i="66"/>
  <c r="I55" i="66" s="1"/>
  <c r="M9" i="65"/>
  <c r="H88" i="65"/>
  <c r="M8" i="65"/>
  <c r="H74" i="65"/>
  <c r="J56" i="65"/>
  <c r="I56" i="65" s="1"/>
  <c r="I48" i="65"/>
  <c r="M47" i="65"/>
  <c r="G33" i="55" s="1"/>
  <c r="I47" i="65"/>
  <c r="I53" i="65" s="1"/>
  <c r="F59" i="8" s="1"/>
  <c r="H84" i="63"/>
  <c r="H80" i="63"/>
  <c r="H70" i="63"/>
  <c r="H69" i="63"/>
  <c r="H67" i="63"/>
  <c r="H66" i="63"/>
  <c r="U26" i="63"/>
  <c r="H53" i="63" s="1"/>
  <c r="H82" i="63"/>
  <c r="H81" i="63"/>
  <c r="H68" i="63"/>
  <c r="G41" i="63"/>
  <c r="G78" i="62"/>
  <c r="H78" i="62" s="1"/>
  <c r="G42" i="62"/>
  <c r="U38" i="60"/>
  <c r="H46" i="60" s="1"/>
  <c r="U38" i="51"/>
  <c r="H46" i="51" s="1"/>
  <c r="U38" i="62"/>
  <c r="H46" i="62" s="1"/>
  <c r="U25" i="61"/>
  <c r="H52" i="61" s="1"/>
  <c r="U36" i="57"/>
  <c r="H44" i="57" s="1"/>
  <c r="U35" i="50"/>
  <c r="H43" i="50" s="1"/>
  <c r="U36" i="59"/>
  <c r="H44" i="59" s="1"/>
  <c r="U38" i="58"/>
  <c r="H46" i="58" s="1"/>
  <c r="U37" i="45"/>
  <c r="H45" i="45" s="1"/>
  <c r="H69" i="62"/>
  <c r="H68" i="62"/>
  <c r="H70" i="62"/>
  <c r="H85" i="62"/>
  <c r="H82" i="62"/>
  <c r="H71" i="62"/>
  <c r="H84" i="62"/>
  <c r="H83" i="62"/>
  <c r="G79" i="62"/>
  <c r="H79" i="62" s="1"/>
  <c r="H72" i="62"/>
  <c r="G65" i="62"/>
  <c r="H65" i="62" s="1"/>
  <c r="U27" i="62"/>
  <c r="H54" i="62" s="1"/>
  <c r="G95" i="63"/>
  <c r="H92" i="63"/>
  <c r="G85" i="63"/>
  <c r="H79" i="63"/>
  <c r="G71" i="63"/>
  <c r="H65" i="63"/>
  <c r="I45" i="63"/>
  <c r="I51" i="63" s="1"/>
  <c r="F58" i="8" s="1"/>
  <c r="M45" i="63"/>
  <c r="G97" i="62"/>
  <c r="H94" i="62"/>
  <c r="G87" i="62"/>
  <c r="H81" i="62"/>
  <c r="G73" i="62"/>
  <c r="H67" i="62"/>
  <c r="I47" i="62"/>
  <c r="M47" i="62"/>
  <c r="I29" i="55"/>
  <c r="I31" i="55"/>
  <c r="S3" i="8"/>
  <c r="AA11" i="8" s="1"/>
  <c r="I30" i="55"/>
  <c r="I28" i="55"/>
  <c r="I27" i="55"/>
  <c r="I26" i="55"/>
  <c r="H29" i="55"/>
  <c r="H31" i="55"/>
  <c r="H30" i="55"/>
  <c r="H28" i="55"/>
  <c r="H27" i="55"/>
  <c r="H26" i="55"/>
  <c r="G94" i="61"/>
  <c r="H91" i="61"/>
  <c r="G84" i="61"/>
  <c r="H78" i="61"/>
  <c r="G70" i="61"/>
  <c r="H64" i="61"/>
  <c r="I44" i="61"/>
  <c r="I50" i="61" s="1"/>
  <c r="F56" i="8" s="1"/>
  <c r="M44" i="61"/>
  <c r="H40" i="61"/>
  <c r="K40" i="61"/>
  <c r="L40" i="61" s="1"/>
  <c r="M6" i="61"/>
  <c r="U27" i="60"/>
  <c r="H54" i="60" s="1"/>
  <c r="G42" i="60"/>
  <c r="G96" i="60"/>
  <c r="H93" i="60"/>
  <c r="H80" i="60"/>
  <c r="G86" i="60"/>
  <c r="H66" i="60"/>
  <c r="G72" i="60"/>
  <c r="I54" i="60"/>
  <c r="I56" i="60" s="1"/>
  <c r="E55" i="8" s="1"/>
  <c r="M54" i="60"/>
  <c r="U25" i="59"/>
  <c r="H52" i="59" s="1"/>
  <c r="G76" i="59"/>
  <c r="H76" i="59" s="1"/>
  <c r="G62" i="59"/>
  <c r="H62" i="59" s="1"/>
  <c r="H91" i="59"/>
  <c r="G94" i="59"/>
  <c r="G84" i="59"/>
  <c r="H78" i="59"/>
  <c r="G70" i="59"/>
  <c r="H64" i="59"/>
  <c r="J53" i="59"/>
  <c r="I53" i="59" s="1"/>
  <c r="I45" i="59"/>
  <c r="M52" i="59"/>
  <c r="I52" i="59"/>
  <c r="I54" i="59" s="1"/>
  <c r="E54" i="8" s="1"/>
  <c r="K40" i="59"/>
  <c r="L40" i="59" s="1"/>
  <c r="H40" i="59"/>
  <c r="M6" i="59"/>
  <c r="U27" i="58"/>
  <c r="H54" i="58" s="1"/>
  <c r="G78" i="58"/>
  <c r="H78" i="58" s="1"/>
  <c r="G64" i="58"/>
  <c r="H64" i="58" s="1"/>
  <c r="G96" i="58"/>
  <c r="H93" i="58"/>
  <c r="G86" i="58"/>
  <c r="H80" i="58"/>
  <c r="H66" i="58"/>
  <c r="G72" i="58"/>
  <c r="M6" i="58"/>
  <c r="H42" i="58"/>
  <c r="K42" i="58"/>
  <c r="L42" i="58" s="1"/>
  <c r="I54" i="58"/>
  <c r="I56" i="58" s="1"/>
  <c r="E53" i="8" s="1"/>
  <c r="C30" i="55" s="1"/>
  <c r="M54" i="58"/>
  <c r="D30" i="55" s="1"/>
  <c r="H83" i="57"/>
  <c r="H82" i="57"/>
  <c r="H80" i="57"/>
  <c r="H79" i="57"/>
  <c r="H78" i="57"/>
  <c r="H69" i="57"/>
  <c r="H68" i="57"/>
  <c r="H66" i="57"/>
  <c r="H64" i="57"/>
  <c r="M12" i="57"/>
  <c r="K42" i="56"/>
  <c r="L42" i="56" s="1"/>
  <c r="H85" i="56"/>
  <c r="H84" i="56"/>
  <c r="H83" i="56"/>
  <c r="H82" i="56"/>
  <c r="H81" i="56"/>
  <c r="H80" i="56"/>
  <c r="H71" i="56"/>
  <c r="H70" i="56"/>
  <c r="H68" i="56"/>
  <c r="M12" i="56"/>
  <c r="H84" i="49"/>
  <c r="H83" i="54"/>
  <c r="H82" i="54"/>
  <c r="H81" i="54"/>
  <c r="H80" i="54"/>
  <c r="H79" i="54"/>
  <c r="H69" i="54"/>
  <c r="H68" i="54"/>
  <c r="H67" i="54"/>
  <c r="H66" i="54"/>
  <c r="H65" i="54"/>
  <c r="I50" i="53"/>
  <c r="H85" i="53"/>
  <c r="H84" i="53"/>
  <c r="H83" i="53"/>
  <c r="H82" i="53"/>
  <c r="H81" i="53"/>
  <c r="H71" i="53"/>
  <c r="H70" i="53"/>
  <c r="H69" i="53"/>
  <c r="H68" i="53"/>
  <c r="H67" i="53"/>
  <c r="H83" i="49"/>
  <c r="H69" i="49"/>
  <c r="H67" i="49"/>
  <c r="H79" i="52"/>
  <c r="H67" i="52"/>
  <c r="H84" i="51"/>
  <c r="H83" i="51"/>
  <c r="H81" i="51"/>
  <c r="H80" i="51"/>
  <c r="H70" i="49"/>
  <c r="H66" i="49"/>
  <c r="G77" i="51"/>
  <c r="H77" i="51" s="1"/>
  <c r="U37" i="49"/>
  <c r="H45" i="49" s="1"/>
  <c r="I41" i="49"/>
  <c r="H84" i="48"/>
  <c r="H83" i="48"/>
  <c r="H82" i="48"/>
  <c r="H81" i="48"/>
  <c r="H80" i="48"/>
  <c r="H70" i="48"/>
  <c r="H69" i="48"/>
  <c r="H68" i="48"/>
  <c r="H66" i="48"/>
  <c r="H65" i="48"/>
  <c r="H84" i="46"/>
  <c r="H83" i="46"/>
  <c r="H82" i="46"/>
  <c r="H81" i="46"/>
  <c r="H79" i="46"/>
  <c r="H68" i="46"/>
  <c r="I41" i="48"/>
  <c r="J41" i="48" s="1"/>
  <c r="U37" i="48"/>
  <c r="H45" i="48" s="1"/>
  <c r="M12" i="48"/>
  <c r="H84" i="47"/>
  <c r="H83" i="47"/>
  <c r="H82" i="47"/>
  <c r="H81" i="47"/>
  <c r="H80" i="47"/>
  <c r="G77" i="47"/>
  <c r="H77" i="47" s="1"/>
  <c r="H70" i="47"/>
  <c r="H69" i="47"/>
  <c r="H68" i="47"/>
  <c r="H67" i="47"/>
  <c r="H66" i="47"/>
  <c r="H70" i="46"/>
  <c r="H69" i="46"/>
  <c r="H83" i="45"/>
  <c r="H82" i="45"/>
  <c r="I54" i="45"/>
  <c r="I59" i="39"/>
  <c r="H67" i="56"/>
  <c r="J53" i="54"/>
  <c r="I53" i="54" s="1"/>
  <c r="I45" i="54"/>
  <c r="M44" i="54"/>
  <c r="I44" i="54"/>
  <c r="I50" i="54" s="1"/>
  <c r="F50" i="8" s="1"/>
  <c r="I47" i="53"/>
  <c r="M47" i="53"/>
  <c r="I46" i="53"/>
  <c r="M46" i="53"/>
  <c r="G28" i="55" s="1"/>
  <c r="I44" i="52"/>
  <c r="M44" i="52"/>
  <c r="G60" i="50"/>
  <c r="H60" i="50" s="1"/>
  <c r="G74" i="50"/>
  <c r="H74" i="50" s="1"/>
  <c r="I51" i="50"/>
  <c r="M51" i="50"/>
  <c r="M45" i="47"/>
  <c r="I45" i="47"/>
  <c r="I51" i="47" s="1"/>
  <c r="F43" i="8" s="1"/>
  <c r="M45" i="46"/>
  <c r="I45" i="46"/>
  <c r="I51" i="46" s="1"/>
  <c r="F42" i="8" s="1"/>
  <c r="G40" i="57"/>
  <c r="K40" i="57" s="1"/>
  <c r="L40" i="57" s="1"/>
  <c r="G94" i="57"/>
  <c r="G62" i="57"/>
  <c r="H62" i="57" s="1"/>
  <c r="H65" i="57"/>
  <c r="G76" i="57"/>
  <c r="H76" i="57" s="1"/>
  <c r="H81" i="57"/>
  <c r="H94" i="57"/>
  <c r="M10" i="57"/>
  <c r="H67" i="57"/>
  <c r="G84" i="57"/>
  <c r="G70" i="57"/>
  <c r="H91" i="57"/>
  <c r="J53" i="57"/>
  <c r="I53" i="57" s="1"/>
  <c r="G96" i="56"/>
  <c r="H96" i="56" s="1"/>
  <c r="H69" i="56"/>
  <c r="G64" i="56"/>
  <c r="H64" i="56" s="1"/>
  <c r="G78" i="56"/>
  <c r="H78" i="56" s="1"/>
  <c r="M46" i="56"/>
  <c r="I46" i="56"/>
  <c r="I52" i="56" s="1"/>
  <c r="F51" i="8" s="1"/>
  <c r="H42" i="56"/>
  <c r="M6" i="56"/>
  <c r="G86" i="56"/>
  <c r="G72" i="56"/>
  <c r="H93" i="56"/>
  <c r="G40" i="54"/>
  <c r="M6" i="54" s="1"/>
  <c r="G76" i="54"/>
  <c r="H76" i="54" s="1"/>
  <c r="G62" i="54"/>
  <c r="H62" i="54" s="1"/>
  <c r="G42" i="53"/>
  <c r="G78" i="53"/>
  <c r="H78" i="53" s="1"/>
  <c r="G64" i="53"/>
  <c r="H64" i="53" s="1"/>
  <c r="O4" i="55"/>
  <c r="H20" i="55"/>
  <c r="H19" i="55"/>
  <c r="H22" i="55"/>
  <c r="H24" i="55"/>
  <c r="H23" i="55"/>
  <c r="H25" i="55"/>
  <c r="H21" i="55"/>
  <c r="O2" i="55"/>
  <c r="O5" i="55" s="1"/>
  <c r="O7" i="55" s="1"/>
  <c r="O8" i="55" s="1"/>
  <c r="E31" i="55"/>
  <c r="E30" i="55"/>
  <c r="E35" i="55"/>
  <c r="J35" i="55" s="1"/>
  <c r="E28" i="55"/>
  <c r="E25" i="55"/>
  <c r="E21" i="55"/>
  <c r="E19" i="55"/>
  <c r="E24" i="55"/>
  <c r="E33" i="55"/>
  <c r="E26" i="55"/>
  <c r="E32" i="55"/>
  <c r="E23" i="55"/>
  <c r="E22" i="55"/>
  <c r="E20" i="55"/>
  <c r="E29" i="55"/>
  <c r="E27" i="55"/>
  <c r="I15" i="55"/>
  <c r="J15" i="55" s="1"/>
  <c r="I16" i="55"/>
  <c r="J16" i="55" s="1"/>
  <c r="I17" i="55"/>
  <c r="J17" i="55" s="1"/>
  <c r="I18" i="55"/>
  <c r="J18" i="55" s="1"/>
  <c r="I19" i="55"/>
  <c r="I20" i="55"/>
  <c r="I21" i="55"/>
  <c r="I22" i="55"/>
  <c r="I23" i="55"/>
  <c r="I24" i="55"/>
  <c r="I9" i="55"/>
  <c r="J9" i="55" s="1"/>
  <c r="I6" i="55"/>
  <c r="J6" i="55" s="1"/>
  <c r="I11" i="55"/>
  <c r="J11" i="55" s="1"/>
  <c r="I13" i="55"/>
  <c r="J13" i="55" s="1"/>
  <c r="I25" i="55"/>
  <c r="I5" i="55"/>
  <c r="I7" i="55"/>
  <c r="J7" i="55" s="1"/>
  <c r="I8" i="55"/>
  <c r="J8" i="55" s="1"/>
  <c r="I10" i="55"/>
  <c r="J10" i="55" s="1"/>
  <c r="I12" i="55"/>
  <c r="J12" i="55" s="1"/>
  <c r="I14" i="55"/>
  <c r="J14" i="55" s="1"/>
  <c r="G94" i="54"/>
  <c r="H91" i="54"/>
  <c r="G84" i="54"/>
  <c r="H78" i="54"/>
  <c r="G70" i="54"/>
  <c r="H64" i="54"/>
  <c r="H93" i="53"/>
  <c r="G96" i="53"/>
  <c r="G86" i="53"/>
  <c r="H80" i="53"/>
  <c r="G72" i="53"/>
  <c r="H66" i="53"/>
  <c r="H82" i="52"/>
  <c r="H68" i="52"/>
  <c r="H66" i="52"/>
  <c r="I50" i="52"/>
  <c r="F48" i="8" s="1"/>
  <c r="H83" i="52"/>
  <c r="H81" i="52"/>
  <c r="H69" i="52"/>
  <c r="H65" i="52"/>
  <c r="H80" i="52"/>
  <c r="O48" i="8"/>
  <c r="Q48" i="8" s="1"/>
  <c r="E48" i="8"/>
  <c r="G75" i="52"/>
  <c r="H75" i="52" s="1"/>
  <c r="G61" i="52"/>
  <c r="H61" i="52" s="1"/>
  <c r="G62" i="52"/>
  <c r="H62" i="52" s="1"/>
  <c r="G76" i="52"/>
  <c r="H76" i="52" s="1"/>
  <c r="G40" i="52"/>
  <c r="H67" i="51"/>
  <c r="H85" i="51"/>
  <c r="H71" i="51"/>
  <c r="H68" i="51"/>
  <c r="H70" i="51"/>
  <c r="H69" i="51"/>
  <c r="G78" i="51"/>
  <c r="H78" i="51" s="1"/>
  <c r="G64" i="51"/>
  <c r="H64" i="51" s="1"/>
  <c r="H93" i="51"/>
  <c r="G96" i="51"/>
  <c r="G94" i="52"/>
  <c r="H91" i="52"/>
  <c r="G84" i="52"/>
  <c r="H78" i="52"/>
  <c r="H64" i="52"/>
  <c r="G70" i="52"/>
  <c r="G86" i="51"/>
  <c r="H82" i="51"/>
  <c r="G72" i="51"/>
  <c r="H66" i="51"/>
  <c r="H42" i="51"/>
  <c r="M6" i="51"/>
  <c r="K42" i="51"/>
  <c r="L42" i="51" s="1"/>
  <c r="G39" i="50"/>
  <c r="I53" i="50"/>
  <c r="E46" i="8" s="1"/>
  <c r="H67" i="50"/>
  <c r="H64" i="50"/>
  <c r="H80" i="50"/>
  <c r="H68" i="50"/>
  <c r="H66" i="50"/>
  <c r="H82" i="50"/>
  <c r="H79" i="50"/>
  <c r="H78" i="50"/>
  <c r="G75" i="50"/>
  <c r="H75" i="50" s="1"/>
  <c r="G61" i="50"/>
  <c r="H61" i="50" s="1"/>
  <c r="G63" i="49"/>
  <c r="H63" i="49" s="1"/>
  <c r="U26" i="49"/>
  <c r="H53" i="49" s="1"/>
  <c r="G77" i="49"/>
  <c r="H77" i="49" s="1"/>
  <c r="G93" i="50"/>
  <c r="H90" i="50"/>
  <c r="G83" i="50"/>
  <c r="H77" i="50"/>
  <c r="G69" i="50"/>
  <c r="H63" i="50"/>
  <c r="H39" i="50"/>
  <c r="K39" i="50"/>
  <c r="L39" i="50" s="1"/>
  <c r="M6" i="50"/>
  <c r="G95" i="49"/>
  <c r="H92" i="49"/>
  <c r="G85" i="49"/>
  <c r="H79" i="49"/>
  <c r="G71" i="49"/>
  <c r="H65" i="49"/>
  <c r="M6" i="49"/>
  <c r="H41" i="49"/>
  <c r="G77" i="48"/>
  <c r="H77" i="48" s="1"/>
  <c r="G63" i="48"/>
  <c r="H63" i="48" s="1"/>
  <c r="G41" i="48"/>
  <c r="G95" i="48"/>
  <c r="H92" i="48"/>
  <c r="H79" i="48"/>
  <c r="G85" i="48"/>
  <c r="G71" i="48"/>
  <c r="H67" i="48"/>
  <c r="J54" i="48"/>
  <c r="I54" i="48" s="1"/>
  <c r="I46" i="48"/>
  <c r="M6" i="48"/>
  <c r="H41" i="48"/>
  <c r="G63" i="47"/>
  <c r="H63" i="47" s="1"/>
  <c r="U26" i="47"/>
  <c r="H53" i="47" s="1"/>
  <c r="G95" i="47"/>
  <c r="H92" i="47"/>
  <c r="G85" i="47"/>
  <c r="H79" i="47"/>
  <c r="G71" i="47"/>
  <c r="H65" i="47"/>
  <c r="H41" i="47"/>
  <c r="K41" i="47"/>
  <c r="L41" i="47" s="1"/>
  <c r="M6" i="47"/>
  <c r="G41" i="46"/>
  <c r="M6" i="46" s="1"/>
  <c r="G77" i="46"/>
  <c r="H77" i="46" s="1"/>
  <c r="G63" i="46"/>
  <c r="H63" i="46" s="1"/>
  <c r="G95" i="46"/>
  <c r="H92" i="46"/>
  <c r="H80" i="46"/>
  <c r="G85" i="46"/>
  <c r="G71" i="46"/>
  <c r="H66" i="46"/>
  <c r="H70" i="45"/>
  <c r="H69" i="45"/>
  <c r="H68" i="45"/>
  <c r="H67" i="45"/>
  <c r="H66" i="45"/>
  <c r="H81" i="45"/>
  <c r="H80" i="45"/>
  <c r="H79" i="45"/>
  <c r="G77" i="45"/>
  <c r="H77" i="45" s="1"/>
  <c r="G63" i="45"/>
  <c r="H63" i="45" s="1"/>
  <c r="G95" i="45"/>
  <c r="H92" i="45"/>
  <c r="G85" i="45"/>
  <c r="H84" i="45"/>
  <c r="H65" i="45"/>
  <c r="G71" i="45"/>
  <c r="H41" i="45"/>
  <c r="K41" i="45"/>
  <c r="L41" i="45" s="1"/>
  <c r="M6" i="45"/>
  <c r="I59" i="37"/>
  <c r="I54" i="37"/>
  <c r="S24" i="44"/>
  <c r="J24" i="44"/>
  <c r="J23" i="44"/>
  <c r="G95" i="44"/>
  <c r="H95" i="44" s="1"/>
  <c r="G94" i="44"/>
  <c r="H94" i="44" s="1"/>
  <c r="G93" i="44"/>
  <c r="D89" i="44"/>
  <c r="G85" i="44"/>
  <c r="G84" i="44"/>
  <c r="G83" i="44"/>
  <c r="G82" i="44"/>
  <c r="G81" i="44"/>
  <c r="G80" i="44"/>
  <c r="G76" i="44"/>
  <c r="D75" i="44"/>
  <c r="G71" i="44"/>
  <c r="G70" i="44"/>
  <c r="G69" i="44"/>
  <c r="G68" i="44"/>
  <c r="G67" i="44"/>
  <c r="G66" i="44"/>
  <c r="G63" i="44"/>
  <c r="H63" i="44" s="1"/>
  <c r="G62" i="44"/>
  <c r="D61" i="44"/>
  <c r="K55" i="44"/>
  <c r="M55" i="44" s="1"/>
  <c r="K50" i="44"/>
  <c r="J50" i="44"/>
  <c r="J49" i="44"/>
  <c r="I49" i="44" s="1"/>
  <c r="I48" i="44"/>
  <c r="K47" i="44"/>
  <c r="M47" i="44" s="1"/>
  <c r="J47" i="44"/>
  <c r="L43" i="44"/>
  <c r="J43" i="44"/>
  <c r="H43" i="44"/>
  <c r="M7" i="44" s="1"/>
  <c r="D42" i="44"/>
  <c r="K41" i="44"/>
  <c r="D41" i="44"/>
  <c r="X38" i="44"/>
  <c r="W38" i="44"/>
  <c r="V38" i="44"/>
  <c r="S38" i="44"/>
  <c r="X37" i="44"/>
  <c r="W37" i="44"/>
  <c r="V37" i="44"/>
  <c r="S37" i="44"/>
  <c r="J37" i="44"/>
  <c r="X36" i="44"/>
  <c r="W36" i="44"/>
  <c r="V36" i="44"/>
  <c r="S36" i="44"/>
  <c r="J36" i="44"/>
  <c r="X35" i="44"/>
  <c r="W35" i="44"/>
  <c r="V35" i="44"/>
  <c r="U35" i="44"/>
  <c r="S35" i="44"/>
  <c r="J35" i="44"/>
  <c r="X34" i="44"/>
  <c r="W34" i="44"/>
  <c r="V34" i="44"/>
  <c r="U34" i="44"/>
  <c r="C34" i="44"/>
  <c r="W33" i="44"/>
  <c r="V33" i="44"/>
  <c r="U33" i="44"/>
  <c r="X32" i="44"/>
  <c r="W32" i="44"/>
  <c r="V32" i="44"/>
  <c r="U32" i="44"/>
  <c r="X31" i="44"/>
  <c r="W31" i="44"/>
  <c r="V31" i="44"/>
  <c r="U31" i="44"/>
  <c r="C31" i="44"/>
  <c r="X30" i="44"/>
  <c r="W30" i="44"/>
  <c r="V30" i="44"/>
  <c r="U30" i="44"/>
  <c r="J30" i="44"/>
  <c r="C30" i="44"/>
  <c r="C32" i="44" s="1"/>
  <c r="X27" i="44"/>
  <c r="W27" i="44"/>
  <c r="V27" i="44"/>
  <c r="S27" i="44"/>
  <c r="J27" i="44"/>
  <c r="O40" i="8" s="1"/>
  <c r="X26" i="44"/>
  <c r="W26" i="44"/>
  <c r="V26" i="44"/>
  <c r="U26" i="44"/>
  <c r="J26" i="44"/>
  <c r="U25" i="44"/>
  <c r="X24" i="44"/>
  <c r="W24" i="44"/>
  <c r="V24" i="44"/>
  <c r="C24" i="44"/>
  <c r="X23" i="44"/>
  <c r="W23" i="44"/>
  <c r="V23" i="44"/>
  <c r="U23" i="44"/>
  <c r="S23" i="44"/>
  <c r="C23" i="44"/>
  <c r="X22" i="44"/>
  <c r="W22" i="44"/>
  <c r="V22" i="44"/>
  <c r="U22" i="44"/>
  <c r="S22" i="44"/>
  <c r="J22" i="44"/>
  <c r="C22" i="44"/>
  <c r="X21" i="44"/>
  <c r="W21" i="44"/>
  <c r="V21" i="44"/>
  <c r="U21" i="44"/>
  <c r="S21" i="44"/>
  <c r="J21" i="44"/>
  <c r="G77" i="44" s="1"/>
  <c r="H77" i="44" s="1"/>
  <c r="C21" i="44"/>
  <c r="D18" i="44"/>
  <c r="D17" i="44"/>
  <c r="D16" i="44"/>
  <c r="D15" i="44"/>
  <c r="M11" i="44"/>
  <c r="J31" i="41"/>
  <c r="O37" i="8" s="1"/>
  <c r="J30" i="38"/>
  <c r="O34" i="8" s="1"/>
  <c r="J31" i="43"/>
  <c r="O39" i="8" s="1"/>
  <c r="J25" i="43"/>
  <c r="J24" i="43"/>
  <c r="J23" i="43"/>
  <c r="C25" i="43"/>
  <c r="G99" i="43"/>
  <c r="H99" i="43" s="1"/>
  <c r="G98" i="43"/>
  <c r="H98" i="43" s="1"/>
  <c r="G97" i="43"/>
  <c r="H97" i="43" s="1"/>
  <c r="D93" i="43"/>
  <c r="G89" i="43"/>
  <c r="G88" i="43"/>
  <c r="G87" i="43"/>
  <c r="G86" i="43"/>
  <c r="G85" i="43"/>
  <c r="G84" i="43"/>
  <c r="G81" i="43"/>
  <c r="H81" i="43" s="1"/>
  <c r="G80" i="43"/>
  <c r="D79" i="43"/>
  <c r="G75" i="43"/>
  <c r="G74" i="43"/>
  <c r="G73" i="43"/>
  <c r="G72" i="43"/>
  <c r="G71" i="43"/>
  <c r="G70" i="43"/>
  <c r="G67" i="43"/>
  <c r="H67" i="43" s="1"/>
  <c r="G66" i="43"/>
  <c r="D65" i="43"/>
  <c r="K59" i="43"/>
  <c r="M59" i="43" s="1"/>
  <c r="K54" i="43"/>
  <c r="J54" i="43"/>
  <c r="I54" i="43" s="1"/>
  <c r="J53" i="43"/>
  <c r="I53" i="43" s="1"/>
  <c r="I52" i="43"/>
  <c r="K51" i="43"/>
  <c r="M51" i="43" s="1"/>
  <c r="J51" i="43"/>
  <c r="J59" i="43" s="1"/>
  <c r="L47" i="43"/>
  <c r="J47" i="43"/>
  <c r="H47" i="43"/>
  <c r="M7" i="43" s="1"/>
  <c r="D46" i="43"/>
  <c r="K45" i="43"/>
  <c r="D45" i="43"/>
  <c r="X42" i="43"/>
  <c r="W42" i="43"/>
  <c r="V42" i="43"/>
  <c r="S42" i="43"/>
  <c r="X41" i="43"/>
  <c r="W41" i="43"/>
  <c r="V41" i="43"/>
  <c r="S41" i="43"/>
  <c r="J41" i="43"/>
  <c r="X40" i="43"/>
  <c r="W40" i="43"/>
  <c r="V40" i="43"/>
  <c r="S40" i="43"/>
  <c r="J40" i="43"/>
  <c r="X39" i="43"/>
  <c r="W39" i="43"/>
  <c r="V39" i="43"/>
  <c r="U39" i="43"/>
  <c r="S39" i="43"/>
  <c r="J39" i="43"/>
  <c r="X38" i="43"/>
  <c r="W38" i="43"/>
  <c r="V38" i="43"/>
  <c r="U38" i="43"/>
  <c r="C38" i="43"/>
  <c r="W37" i="43"/>
  <c r="V37" i="43"/>
  <c r="U37" i="43"/>
  <c r="X36" i="43"/>
  <c r="W36" i="43"/>
  <c r="V36" i="43"/>
  <c r="U36" i="43"/>
  <c r="X35" i="43"/>
  <c r="W35" i="43"/>
  <c r="V35" i="43"/>
  <c r="U35" i="43"/>
  <c r="C35" i="43"/>
  <c r="X34" i="43"/>
  <c r="W34" i="43"/>
  <c r="V34" i="43"/>
  <c r="U34" i="43"/>
  <c r="J34" i="43"/>
  <c r="C34" i="43"/>
  <c r="C36" i="43" s="1"/>
  <c r="X31" i="43"/>
  <c r="W31" i="43"/>
  <c r="V31" i="43"/>
  <c r="S31" i="43"/>
  <c r="X30" i="43"/>
  <c r="W30" i="43"/>
  <c r="V30" i="43"/>
  <c r="U30" i="43"/>
  <c r="J30" i="43"/>
  <c r="U29" i="43"/>
  <c r="U28" i="43"/>
  <c r="U26" i="43"/>
  <c r="X25" i="43"/>
  <c r="W25" i="43"/>
  <c r="V25" i="43"/>
  <c r="X24" i="43"/>
  <c r="W24" i="43"/>
  <c r="V24" i="43"/>
  <c r="U24" i="43"/>
  <c r="C24" i="43"/>
  <c r="X23" i="43"/>
  <c r="W23" i="43"/>
  <c r="V23" i="43"/>
  <c r="S23" i="43"/>
  <c r="C23" i="43"/>
  <c r="X22" i="43"/>
  <c r="W22" i="43"/>
  <c r="V22" i="43"/>
  <c r="S22" i="43"/>
  <c r="J22" i="43"/>
  <c r="C22" i="43"/>
  <c r="X21" i="43"/>
  <c r="W21" i="43"/>
  <c r="V21" i="43"/>
  <c r="S21" i="43"/>
  <c r="J21" i="43"/>
  <c r="C21" i="43"/>
  <c r="D18" i="43"/>
  <c r="D17" i="43"/>
  <c r="D16" i="43"/>
  <c r="D15" i="43"/>
  <c r="M12" i="43"/>
  <c r="M11" i="43"/>
  <c r="G98" i="42"/>
  <c r="H98" i="42" s="1"/>
  <c r="G97" i="42"/>
  <c r="H97" i="42" s="1"/>
  <c r="G96" i="42"/>
  <c r="D92" i="42"/>
  <c r="G88" i="42"/>
  <c r="G87" i="42"/>
  <c r="G86" i="42"/>
  <c r="G85" i="42"/>
  <c r="G84" i="42"/>
  <c r="G83" i="42"/>
  <c r="G79" i="42"/>
  <c r="D78" i="42"/>
  <c r="G74" i="42"/>
  <c r="G73" i="42"/>
  <c r="G72" i="42"/>
  <c r="G71" i="42"/>
  <c r="G70" i="42"/>
  <c r="G69" i="42"/>
  <c r="G66" i="42"/>
  <c r="H66" i="42" s="1"/>
  <c r="G65" i="42"/>
  <c r="D64" i="42"/>
  <c r="K58" i="42"/>
  <c r="M58" i="42" s="1"/>
  <c r="K53" i="42"/>
  <c r="J53" i="42"/>
  <c r="I53" i="42" s="1"/>
  <c r="J52" i="42"/>
  <c r="I52" i="42" s="1"/>
  <c r="I51" i="42"/>
  <c r="K50" i="42"/>
  <c r="M50" i="42" s="1"/>
  <c r="J50" i="42"/>
  <c r="J58" i="42" s="1"/>
  <c r="I58" i="42" s="1"/>
  <c r="L46" i="42"/>
  <c r="J46" i="42"/>
  <c r="H46" i="42"/>
  <c r="M7" i="42" s="1"/>
  <c r="D45" i="42"/>
  <c r="K44" i="42"/>
  <c r="D44" i="42"/>
  <c r="X41" i="42"/>
  <c r="W41" i="42"/>
  <c r="V41" i="42"/>
  <c r="S41" i="42"/>
  <c r="X40" i="42"/>
  <c r="W40" i="42"/>
  <c r="V40" i="42"/>
  <c r="S40" i="42"/>
  <c r="J40" i="42"/>
  <c r="X39" i="42"/>
  <c r="W39" i="42"/>
  <c r="V39" i="42"/>
  <c r="S39" i="42"/>
  <c r="J39" i="42"/>
  <c r="X38" i="42"/>
  <c r="W38" i="42"/>
  <c r="V38" i="42"/>
  <c r="U38" i="42"/>
  <c r="S38" i="42"/>
  <c r="J38" i="42"/>
  <c r="X37" i="42"/>
  <c r="W37" i="42"/>
  <c r="V37" i="42"/>
  <c r="U37" i="42"/>
  <c r="C37" i="42"/>
  <c r="W36" i="42"/>
  <c r="V36" i="42"/>
  <c r="U36" i="42"/>
  <c r="X35" i="42"/>
  <c r="W35" i="42"/>
  <c r="V35" i="42"/>
  <c r="U35" i="42"/>
  <c r="X34" i="42"/>
  <c r="W34" i="42"/>
  <c r="V34" i="42"/>
  <c r="U34" i="42"/>
  <c r="C34" i="42"/>
  <c r="X33" i="42"/>
  <c r="W33" i="42"/>
  <c r="V33" i="42"/>
  <c r="U33" i="42"/>
  <c r="J33" i="42"/>
  <c r="C33" i="42"/>
  <c r="C35" i="42" s="1"/>
  <c r="X30" i="42"/>
  <c r="W30" i="42"/>
  <c r="V30" i="42"/>
  <c r="S30" i="42"/>
  <c r="X29" i="42"/>
  <c r="W29" i="42"/>
  <c r="V29" i="42"/>
  <c r="U29" i="42"/>
  <c r="J29" i="42"/>
  <c r="U28" i="42"/>
  <c r="U27" i="42"/>
  <c r="U26" i="42"/>
  <c r="S26" i="42"/>
  <c r="J26" i="42"/>
  <c r="C26" i="42"/>
  <c r="X25" i="42"/>
  <c r="W25" i="42"/>
  <c r="V25" i="42"/>
  <c r="U25" i="42"/>
  <c r="S25" i="42"/>
  <c r="J25" i="42"/>
  <c r="C25" i="42"/>
  <c r="X24" i="42"/>
  <c r="W24" i="42"/>
  <c r="V24" i="42"/>
  <c r="U24" i="42"/>
  <c r="J24" i="42"/>
  <c r="C24" i="42"/>
  <c r="X23" i="42"/>
  <c r="W23" i="42"/>
  <c r="V23" i="42"/>
  <c r="U23" i="42"/>
  <c r="S23" i="42"/>
  <c r="J23" i="42"/>
  <c r="C23" i="42"/>
  <c r="X22" i="42"/>
  <c r="W22" i="42"/>
  <c r="V22" i="42"/>
  <c r="S22" i="42"/>
  <c r="J22" i="42"/>
  <c r="C22" i="42"/>
  <c r="X21" i="42"/>
  <c r="W21" i="42"/>
  <c r="V21" i="42"/>
  <c r="S21" i="42"/>
  <c r="J21" i="42"/>
  <c r="G80" i="42" s="1"/>
  <c r="H80" i="42" s="1"/>
  <c r="C21" i="42"/>
  <c r="D18" i="42"/>
  <c r="D17" i="42"/>
  <c r="D16" i="42"/>
  <c r="D15" i="42"/>
  <c r="M11" i="42"/>
  <c r="J27" i="41"/>
  <c r="G99" i="41"/>
  <c r="H99" i="41" s="1"/>
  <c r="G98" i="41"/>
  <c r="H98" i="41" s="1"/>
  <c r="G97" i="41"/>
  <c r="G100" i="41" s="1"/>
  <c r="D93" i="41"/>
  <c r="G89" i="41"/>
  <c r="G88" i="41"/>
  <c r="G87" i="41"/>
  <c r="G86" i="41"/>
  <c r="G85" i="41"/>
  <c r="G84" i="41"/>
  <c r="G80" i="41"/>
  <c r="D79" i="41"/>
  <c r="G75" i="41"/>
  <c r="G74" i="41"/>
  <c r="G73" i="41"/>
  <c r="G72" i="41"/>
  <c r="G71" i="41"/>
  <c r="G70" i="41"/>
  <c r="G67" i="41"/>
  <c r="H67" i="41" s="1"/>
  <c r="G66" i="41"/>
  <c r="D65" i="41"/>
  <c r="K59" i="41"/>
  <c r="M59" i="41" s="1"/>
  <c r="K54" i="41"/>
  <c r="J54" i="41"/>
  <c r="I54" i="41" s="1"/>
  <c r="J53" i="41"/>
  <c r="I53" i="41" s="1"/>
  <c r="I52" i="41"/>
  <c r="K51" i="41"/>
  <c r="M51" i="41" s="1"/>
  <c r="J51" i="41"/>
  <c r="J59" i="41" s="1"/>
  <c r="I51" i="41"/>
  <c r="L47" i="41"/>
  <c r="J47" i="41"/>
  <c r="H47" i="41"/>
  <c r="M7" i="41" s="1"/>
  <c r="D46" i="41"/>
  <c r="K45" i="41"/>
  <c r="D45" i="41"/>
  <c r="X42" i="41"/>
  <c r="W42" i="41"/>
  <c r="V42" i="41"/>
  <c r="S42" i="41"/>
  <c r="X41" i="41"/>
  <c r="W41" i="41"/>
  <c r="V41" i="41"/>
  <c r="S41" i="41"/>
  <c r="J41" i="41"/>
  <c r="X40" i="41"/>
  <c r="W40" i="41"/>
  <c r="V40" i="41"/>
  <c r="S40" i="41"/>
  <c r="J40" i="41"/>
  <c r="X39" i="41"/>
  <c r="W39" i="41"/>
  <c r="V39" i="41"/>
  <c r="U39" i="41"/>
  <c r="S39" i="41"/>
  <c r="J39" i="41"/>
  <c r="X38" i="41"/>
  <c r="W38" i="41"/>
  <c r="V38" i="41"/>
  <c r="U38" i="41"/>
  <c r="C38" i="41"/>
  <c r="W37" i="41"/>
  <c r="V37" i="41"/>
  <c r="U37" i="41"/>
  <c r="X36" i="41"/>
  <c r="W36" i="41"/>
  <c r="V36" i="41"/>
  <c r="U36" i="41"/>
  <c r="X35" i="41"/>
  <c r="W35" i="41"/>
  <c r="V35" i="41"/>
  <c r="U35" i="41"/>
  <c r="C35" i="41"/>
  <c r="X34" i="41"/>
  <c r="W34" i="41"/>
  <c r="V34" i="41"/>
  <c r="U34" i="41"/>
  <c r="J34" i="41"/>
  <c r="C34" i="41"/>
  <c r="C36" i="41" s="1"/>
  <c r="X31" i="41"/>
  <c r="W31" i="41"/>
  <c r="V31" i="41"/>
  <c r="S31" i="41"/>
  <c r="X30" i="41"/>
  <c r="W30" i="41"/>
  <c r="V30" i="41"/>
  <c r="U30" i="41"/>
  <c r="J30" i="41"/>
  <c r="U29" i="41"/>
  <c r="J29" i="41"/>
  <c r="U28" i="41"/>
  <c r="J28" i="41"/>
  <c r="U26" i="41"/>
  <c r="J26" i="41"/>
  <c r="X25" i="41"/>
  <c r="W25" i="41"/>
  <c r="V25" i="41"/>
  <c r="U25" i="41"/>
  <c r="X24" i="41"/>
  <c r="W24" i="41"/>
  <c r="V24" i="41"/>
  <c r="U24" i="41"/>
  <c r="C24" i="41"/>
  <c r="X23" i="41"/>
  <c r="W23" i="41"/>
  <c r="V23" i="41"/>
  <c r="U23" i="41"/>
  <c r="S23" i="41"/>
  <c r="C23" i="41"/>
  <c r="X22" i="41"/>
  <c r="W22" i="41"/>
  <c r="V22" i="41"/>
  <c r="U22" i="41"/>
  <c r="S22" i="41"/>
  <c r="J22" i="41"/>
  <c r="G81" i="41" s="1"/>
  <c r="H81" i="41" s="1"/>
  <c r="C22" i="41"/>
  <c r="X21" i="41"/>
  <c r="W21" i="41"/>
  <c r="V21" i="41"/>
  <c r="S21" i="41"/>
  <c r="J21" i="41"/>
  <c r="C21" i="41"/>
  <c r="D18" i="41"/>
  <c r="D17" i="41"/>
  <c r="D16" i="41"/>
  <c r="D15" i="41"/>
  <c r="M12" i="41" s="1"/>
  <c r="M11" i="41"/>
  <c r="C26" i="40"/>
  <c r="J26" i="40"/>
  <c r="S26" i="40"/>
  <c r="S25" i="40"/>
  <c r="J25" i="40"/>
  <c r="C25" i="40"/>
  <c r="G98" i="40"/>
  <c r="H98" i="40" s="1"/>
  <c r="G97" i="40"/>
  <c r="H97" i="40" s="1"/>
  <c r="G96" i="40"/>
  <c r="H96" i="40" s="1"/>
  <c r="D92" i="40"/>
  <c r="G88" i="40"/>
  <c r="G87" i="40"/>
  <c r="G86" i="40"/>
  <c r="G85" i="40"/>
  <c r="G84" i="40"/>
  <c r="G83" i="40"/>
  <c r="G80" i="40"/>
  <c r="H80" i="40" s="1"/>
  <c r="G79" i="40"/>
  <c r="D78" i="40"/>
  <c r="G74" i="40"/>
  <c r="G73" i="40"/>
  <c r="G72" i="40"/>
  <c r="G71" i="40"/>
  <c r="G70" i="40"/>
  <c r="G69" i="40"/>
  <c r="G66" i="40"/>
  <c r="H66" i="40" s="1"/>
  <c r="G65" i="40"/>
  <c r="D64" i="40"/>
  <c r="K58" i="40"/>
  <c r="M58" i="40" s="1"/>
  <c r="K53" i="40"/>
  <c r="J53" i="40"/>
  <c r="I53" i="40"/>
  <c r="J52" i="40"/>
  <c r="I52" i="40" s="1"/>
  <c r="I51" i="40"/>
  <c r="K50" i="40"/>
  <c r="M50" i="40" s="1"/>
  <c r="J50" i="40"/>
  <c r="J58" i="40" s="1"/>
  <c r="L46" i="40"/>
  <c r="J46" i="40"/>
  <c r="H46" i="40"/>
  <c r="M7" i="40" s="1"/>
  <c r="D45" i="40"/>
  <c r="K44" i="40"/>
  <c r="D44" i="40"/>
  <c r="X41" i="40"/>
  <c r="W41" i="40"/>
  <c r="V41" i="40"/>
  <c r="S41" i="40"/>
  <c r="X40" i="40"/>
  <c r="W40" i="40"/>
  <c r="V40" i="40"/>
  <c r="S40" i="40"/>
  <c r="J40" i="40"/>
  <c r="X39" i="40"/>
  <c r="W39" i="40"/>
  <c r="V39" i="40"/>
  <c r="S39" i="40"/>
  <c r="J39" i="40"/>
  <c r="X38" i="40"/>
  <c r="W38" i="40"/>
  <c r="V38" i="40"/>
  <c r="U38" i="40"/>
  <c r="S38" i="40"/>
  <c r="J38" i="40"/>
  <c r="X37" i="40"/>
  <c r="W37" i="40"/>
  <c r="V37" i="40"/>
  <c r="U37" i="40"/>
  <c r="C37" i="40"/>
  <c r="W36" i="40"/>
  <c r="V36" i="40"/>
  <c r="U36" i="40"/>
  <c r="X35" i="40"/>
  <c r="W35" i="40"/>
  <c r="V35" i="40"/>
  <c r="U35" i="40"/>
  <c r="X34" i="40"/>
  <c r="W34" i="40"/>
  <c r="V34" i="40"/>
  <c r="U34" i="40"/>
  <c r="C34" i="40"/>
  <c r="X33" i="40"/>
  <c r="W33" i="40"/>
  <c r="V33" i="40"/>
  <c r="U33" i="40"/>
  <c r="J33" i="40"/>
  <c r="C33" i="40"/>
  <c r="C35" i="40" s="1"/>
  <c r="X30" i="40"/>
  <c r="W30" i="40"/>
  <c r="V30" i="40"/>
  <c r="S30" i="40"/>
  <c r="X29" i="40"/>
  <c r="W29" i="40"/>
  <c r="V29" i="40"/>
  <c r="U29" i="40"/>
  <c r="J29" i="40"/>
  <c r="U28" i="40"/>
  <c r="U27" i="40"/>
  <c r="X25" i="40"/>
  <c r="W25" i="40"/>
  <c r="V25" i="40"/>
  <c r="U25" i="40"/>
  <c r="X24" i="40"/>
  <c r="W24" i="40"/>
  <c r="V24" i="40"/>
  <c r="J24" i="40"/>
  <c r="C24" i="40"/>
  <c r="X23" i="40"/>
  <c r="W23" i="40"/>
  <c r="V23" i="40"/>
  <c r="S23" i="40"/>
  <c r="J23" i="40"/>
  <c r="C23" i="40"/>
  <c r="X22" i="40"/>
  <c r="W22" i="40"/>
  <c r="V22" i="40"/>
  <c r="S22" i="40"/>
  <c r="J22" i="40"/>
  <c r="C22" i="40"/>
  <c r="X21" i="40"/>
  <c r="W21" i="40"/>
  <c r="V21" i="40"/>
  <c r="S21" i="40"/>
  <c r="J21" i="40"/>
  <c r="C21" i="40"/>
  <c r="D18" i="40"/>
  <c r="D17" i="40"/>
  <c r="D16" i="40"/>
  <c r="D15" i="40"/>
  <c r="M12" i="40" s="1"/>
  <c r="M11" i="40"/>
  <c r="G99" i="39"/>
  <c r="H99" i="39" s="1"/>
  <c r="G98" i="39"/>
  <c r="H98" i="39" s="1"/>
  <c r="G97" i="39"/>
  <c r="D93" i="39"/>
  <c r="G89" i="39"/>
  <c r="G88" i="39"/>
  <c r="G87" i="39"/>
  <c r="G86" i="39"/>
  <c r="G85" i="39"/>
  <c r="G84" i="39"/>
  <c r="G80" i="39"/>
  <c r="D79" i="39"/>
  <c r="G75" i="39"/>
  <c r="G74" i="39"/>
  <c r="G73" i="39"/>
  <c r="G72" i="39"/>
  <c r="G71" i="39"/>
  <c r="G70" i="39"/>
  <c r="G67" i="39"/>
  <c r="H67" i="39" s="1"/>
  <c r="G66" i="39"/>
  <c r="D65" i="39"/>
  <c r="K58" i="39"/>
  <c r="M58" i="39" s="1"/>
  <c r="K53" i="39"/>
  <c r="J53" i="39"/>
  <c r="I53" i="39" s="1"/>
  <c r="J52" i="39"/>
  <c r="I52" i="39" s="1"/>
  <c r="I51" i="39"/>
  <c r="K50" i="39"/>
  <c r="M50" i="39" s="1"/>
  <c r="J50" i="39"/>
  <c r="J58" i="39" s="1"/>
  <c r="L46" i="39"/>
  <c r="J46" i="39"/>
  <c r="H46" i="39"/>
  <c r="M7" i="39" s="1"/>
  <c r="D45" i="39"/>
  <c r="K44" i="39"/>
  <c r="D44" i="39"/>
  <c r="X41" i="39"/>
  <c r="W41" i="39"/>
  <c r="V41" i="39"/>
  <c r="S41" i="39"/>
  <c r="X40" i="39"/>
  <c r="W40" i="39"/>
  <c r="V40" i="39"/>
  <c r="S40" i="39"/>
  <c r="J40" i="39"/>
  <c r="X39" i="39"/>
  <c r="W39" i="39"/>
  <c r="V39" i="39"/>
  <c r="S39" i="39"/>
  <c r="J39" i="39"/>
  <c r="X38" i="39"/>
  <c r="W38" i="39"/>
  <c r="V38" i="39"/>
  <c r="U38" i="39"/>
  <c r="S38" i="39"/>
  <c r="J38" i="39"/>
  <c r="X37" i="39"/>
  <c r="W37" i="39"/>
  <c r="V37" i="39"/>
  <c r="U37" i="39"/>
  <c r="C37" i="39"/>
  <c r="W36" i="39"/>
  <c r="V36" i="39"/>
  <c r="U36" i="39"/>
  <c r="X35" i="39"/>
  <c r="W35" i="39"/>
  <c r="V35" i="39"/>
  <c r="U35" i="39"/>
  <c r="X34" i="39"/>
  <c r="W34" i="39"/>
  <c r="V34" i="39"/>
  <c r="U34" i="39"/>
  <c r="C34" i="39"/>
  <c r="X33" i="39"/>
  <c r="W33" i="39"/>
  <c r="V33" i="39"/>
  <c r="U33" i="39"/>
  <c r="J33" i="39"/>
  <c r="C33" i="39"/>
  <c r="C35" i="39" s="1"/>
  <c r="X30" i="39"/>
  <c r="W30" i="39"/>
  <c r="V30" i="39"/>
  <c r="S30" i="39"/>
  <c r="J30" i="39"/>
  <c r="O35" i="8" s="1"/>
  <c r="X29" i="39"/>
  <c r="W29" i="39"/>
  <c r="V29" i="39"/>
  <c r="U29" i="39"/>
  <c r="J29" i="39"/>
  <c r="U28" i="39"/>
  <c r="J28" i="39"/>
  <c r="U27" i="39"/>
  <c r="J27" i="39"/>
  <c r="U26" i="39"/>
  <c r="J26" i="39"/>
  <c r="X25" i="39"/>
  <c r="W25" i="39"/>
  <c r="V25" i="39"/>
  <c r="U25" i="39"/>
  <c r="X24" i="39"/>
  <c r="W24" i="39"/>
  <c r="V24" i="39"/>
  <c r="J24" i="39"/>
  <c r="C24" i="39"/>
  <c r="X23" i="39"/>
  <c r="W23" i="39"/>
  <c r="V23" i="39"/>
  <c r="S23" i="39"/>
  <c r="J23" i="39"/>
  <c r="C23" i="39"/>
  <c r="X22" i="39"/>
  <c r="W22" i="39"/>
  <c r="V22" i="39"/>
  <c r="S22" i="39"/>
  <c r="J22" i="39"/>
  <c r="C22" i="39"/>
  <c r="X21" i="39"/>
  <c r="W21" i="39"/>
  <c r="V21" i="39"/>
  <c r="S21" i="39"/>
  <c r="J21" i="39"/>
  <c r="C21" i="39"/>
  <c r="D18" i="39"/>
  <c r="D17" i="39"/>
  <c r="D16" i="39"/>
  <c r="D15" i="39"/>
  <c r="M11" i="39"/>
  <c r="J24" i="38"/>
  <c r="J23" i="38"/>
  <c r="G98" i="38"/>
  <c r="H98" i="38" s="1"/>
  <c r="G97" i="38"/>
  <c r="H97" i="38" s="1"/>
  <c r="G96" i="38"/>
  <c r="D92" i="38"/>
  <c r="G88" i="38"/>
  <c r="G87" i="38"/>
  <c r="G86" i="38"/>
  <c r="G85" i="38"/>
  <c r="G84" i="38"/>
  <c r="G83" i="38"/>
  <c r="G79" i="38"/>
  <c r="D78" i="38"/>
  <c r="G74" i="38"/>
  <c r="G73" i="38"/>
  <c r="G72" i="38"/>
  <c r="G71" i="38"/>
  <c r="G70" i="38"/>
  <c r="G69" i="38"/>
  <c r="G66" i="38"/>
  <c r="H66" i="38" s="1"/>
  <c r="G65" i="38"/>
  <c r="D64" i="38"/>
  <c r="K58" i="38"/>
  <c r="M58" i="38" s="1"/>
  <c r="K53" i="38"/>
  <c r="J53" i="38"/>
  <c r="I53" i="38" s="1"/>
  <c r="J52" i="38"/>
  <c r="I52" i="38" s="1"/>
  <c r="I51" i="38"/>
  <c r="K50" i="38"/>
  <c r="M50" i="38" s="1"/>
  <c r="J50" i="38"/>
  <c r="J58" i="38" s="1"/>
  <c r="L46" i="38"/>
  <c r="J46" i="38"/>
  <c r="H46" i="38"/>
  <c r="M7" i="38" s="1"/>
  <c r="D45" i="38"/>
  <c r="K44" i="38"/>
  <c r="D44" i="38"/>
  <c r="X41" i="38"/>
  <c r="W41" i="38"/>
  <c r="V41" i="38"/>
  <c r="S41" i="38"/>
  <c r="X40" i="38"/>
  <c r="W40" i="38"/>
  <c r="V40" i="38"/>
  <c r="S40" i="38"/>
  <c r="J40" i="38"/>
  <c r="X39" i="38"/>
  <c r="W39" i="38"/>
  <c r="V39" i="38"/>
  <c r="S39" i="38"/>
  <c r="J39" i="38"/>
  <c r="X38" i="38"/>
  <c r="W38" i="38"/>
  <c r="V38" i="38"/>
  <c r="U38" i="38"/>
  <c r="S38" i="38"/>
  <c r="J38" i="38"/>
  <c r="X37" i="38"/>
  <c r="W37" i="38"/>
  <c r="V37" i="38"/>
  <c r="U37" i="38"/>
  <c r="C37" i="38"/>
  <c r="W36" i="38"/>
  <c r="V36" i="38"/>
  <c r="U36" i="38"/>
  <c r="X35" i="38"/>
  <c r="W35" i="38"/>
  <c r="V35" i="38"/>
  <c r="U35" i="38"/>
  <c r="X34" i="38"/>
  <c r="W34" i="38"/>
  <c r="V34" i="38"/>
  <c r="U34" i="38"/>
  <c r="C34" i="38"/>
  <c r="X33" i="38"/>
  <c r="W33" i="38"/>
  <c r="V33" i="38"/>
  <c r="U33" i="38"/>
  <c r="J33" i="38"/>
  <c r="C33" i="38"/>
  <c r="C35" i="38" s="1"/>
  <c r="X30" i="38"/>
  <c r="W30" i="38"/>
  <c r="V30" i="38"/>
  <c r="S30" i="38"/>
  <c r="X29" i="38"/>
  <c r="W29" i="38"/>
  <c r="V29" i="38"/>
  <c r="U29" i="38"/>
  <c r="J29" i="38"/>
  <c r="U28" i="38"/>
  <c r="G80" i="38"/>
  <c r="H80" i="38" s="1"/>
  <c r="U27" i="38"/>
  <c r="U26" i="38"/>
  <c r="X25" i="38"/>
  <c r="W25" i="38"/>
  <c r="V25" i="38"/>
  <c r="U25" i="38"/>
  <c r="X24" i="38"/>
  <c r="W24" i="38"/>
  <c r="V24" i="38"/>
  <c r="U24" i="38"/>
  <c r="C24" i="38"/>
  <c r="X23" i="38"/>
  <c r="W23" i="38"/>
  <c r="V23" i="38"/>
  <c r="U23" i="38"/>
  <c r="S23" i="38"/>
  <c r="C23" i="38"/>
  <c r="X22" i="38"/>
  <c r="W22" i="38"/>
  <c r="V22" i="38"/>
  <c r="U22" i="38"/>
  <c r="S22" i="38"/>
  <c r="J22" i="38"/>
  <c r="C22" i="38"/>
  <c r="X21" i="38"/>
  <c r="W21" i="38"/>
  <c r="V21" i="38"/>
  <c r="S21" i="38"/>
  <c r="J21" i="38"/>
  <c r="C21" i="38"/>
  <c r="D18" i="38"/>
  <c r="D17" i="38"/>
  <c r="D16" i="38"/>
  <c r="D15" i="38"/>
  <c r="M12" i="38"/>
  <c r="M11" i="38"/>
  <c r="J29" i="37"/>
  <c r="U28" i="37"/>
  <c r="U27" i="37"/>
  <c r="U26" i="37"/>
  <c r="J28" i="37"/>
  <c r="G81" i="37" s="1"/>
  <c r="H81" i="37" s="1"/>
  <c r="J27" i="37"/>
  <c r="J26" i="37"/>
  <c r="J24" i="37"/>
  <c r="J23" i="37"/>
  <c r="J22" i="37"/>
  <c r="J21" i="37"/>
  <c r="G99" i="37"/>
  <c r="H99" i="37" s="1"/>
  <c r="G98" i="37"/>
  <c r="H98" i="37" s="1"/>
  <c r="G97" i="37"/>
  <c r="D93" i="37"/>
  <c r="G89" i="37"/>
  <c r="G88" i="37"/>
  <c r="G87" i="37"/>
  <c r="G86" i="37"/>
  <c r="G85" i="37"/>
  <c r="G84" i="37"/>
  <c r="G80" i="37"/>
  <c r="D79" i="37"/>
  <c r="G75" i="37"/>
  <c r="G74" i="37"/>
  <c r="G73" i="37"/>
  <c r="G72" i="37"/>
  <c r="G71" i="37"/>
  <c r="G70" i="37"/>
  <c r="G67" i="37"/>
  <c r="H67" i="37" s="1"/>
  <c r="G66" i="37"/>
  <c r="D65" i="37"/>
  <c r="K58" i="37"/>
  <c r="M58" i="37" s="1"/>
  <c r="K53" i="37"/>
  <c r="J53" i="37"/>
  <c r="I53" i="37"/>
  <c r="J52" i="37"/>
  <c r="I52" i="37" s="1"/>
  <c r="I51" i="37"/>
  <c r="K50" i="37"/>
  <c r="M50" i="37" s="1"/>
  <c r="J50" i="37"/>
  <c r="J58" i="37" s="1"/>
  <c r="L46" i="37"/>
  <c r="J46" i="37"/>
  <c r="D45" i="37"/>
  <c r="K44" i="37"/>
  <c r="D44" i="37"/>
  <c r="X41" i="37"/>
  <c r="W41" i="37"/>
  <c r="V41" i="37"/>
  <c r="S41" i="37"/>
  <c r="X40" i="37"/>
  <c r="W40" i="37"/>
  <c r="V40" i="37"/>
  <c r="S40" i="37"/>
  <c r="J40" i="37"/>
  <c r="X39" i="37"/>
  <c r="W39" i="37"/>
  <c r="V39" i="37"/>
  <c r="S39" i="37"/>
  <c r="J39" i="37"/>
  <c r="X38" i="37"/>
  <c r="W38" i="37"/>
  <c r="V38" i="37"/>
  <c r="U38" i="37"/>
  <c r="S38" i="37"/>
  <c r="J38" i="37"/>
  <c r="X37" i="37"/>
  <c r="W37" i="37"/>
  <c r="V37" i="37"/>
  <c r="U37" i="37"/>
  <c r="C37" i="37"/>
  <c r="W36" i="37"/>
  <c r="V36" i="37"/>
  <c r="U36" i="37"/>
  <c r="X35" i="37"/>
  <c r="W35" i="37"/>
  <c r="V35" i="37"/>
  <c r="U35" i="37"/>
  <c r="X34" i="37"/>
  <c r="W34" i="37"/>
  <c r="V34" i="37"/>
  <c r="U34" i="37"/>
  <c r="C34" i="37"/>
  <c r="X33" i="37"/>
  <c r="W33" i="37"/>
  <c r="V33" i="37"/>
  <c r="U33" i="37"/>
  <c r="J33" i="37"/>
  <c r="C33" i="37"/>
  <c r="C35" i="37" s="1"/>
  <c r="X30" i="37"/>
  <c r="W30" i="37"/>
  <c r="V30" i="37"/>
  <c r="S30" i="37"/>
  <c r="J30" i="37"/>
  <c r="O33" i="8" s="1"/>
  <c r="X29" i="37"/>
  <c r="W29" i="37"/>
  <c r="V29" i="37"/>
  <c r="U29" i="37"/>
  <c r="X25" i="37"/>
  <c r="W25" i="37"/>
  <c r="V25" i="37"/>
  <c r="U25" i="37"/>
  <c r="X24" i="37"/>
  <c r="W24" i="37"/>
  <c r="V24" i="37"/>
  <c r="H46" i="37"/>
  <c r="M7" i="37" s="1"/>
  <c r="C24" i="37"/>
  <c r="X23" i="37"/>
  <c r="W23" i="37"/>
  <c r="V23" i="37"/>
  <c r="S23" i="37"/>
  <c r="C23" i="37"/>
  <c r="X22" i="37"/>
  <c r="W22" i="37"/>
  <c r="V22" i="37"/>
  <c r="S22" i="37"/>
  <c r="C22" i="37"/>
  <c r="X21" i="37"/>
  <c r="W21" i="37"/>
  <c r="V21" i="37"/>
  <c r="S21" i="37"/>
  <c r="C21" i="37"/>
  <c r="D18" i="37"/>
  <c r="D17" i="37"/>
  <c r="D16" i="37"/>
  <c r="D15" i="37"/>
  <c r="M11" i="37"/>
  <c r="I51" i="36"/>
  <c r="J30" i="55" l="1"/>
  <c r="M57" i="68"/>
  <c r="I56" i="67"/>
  <c r="I59" i="67" s="1"/>
  <c r="E61" i="8" s="1"/>
  <c r="J34" i="55" s="1"/>
  <c r="M56" i="67"/>
  <c r="H96" i="68"/>
  <c r="M10" i="68"/>
  <c r="H86" i="68"/>
  <c r="M9" i="68"/>
  <c r="H72" i="68"/>
  <c r="M8" i="68"/>
  <c r="H99" i="67"/>
  <c r="M10" i="67"/>
  <c r="H89" i="67"/>
  <c r="M9" i="67"/>
  <c r="H75" i="67"/>
  <c r="M8" i="67"/>
  <c r="I57" i="65"/>
  <c r="H41" i="66"/>
  <c r="K41" i="66"/>
  <c r="L41" i="66" s="1"/>
  <c r="M6" i="66"/>
  <c r="I55" i="65"/>
  <c r="M55" i="65"/>
  <c r="D33" i="55" s="1"/>
  <c r="H43" i="65"/>
  <c r="M6" i="65"/>
  <c r="K43" i="65"/>
  <c r="L43" i="65" s="1"/>
  <c r="H98" i="65"/>
  <c r="M10" i="65"/>
  <c r="X71" i="8"/>
  <c r="X72" i="8"/>
  <c r="I71" i="8"/>
  <c r="T71" i="8"/>
  <c r="T69" i="8"/>
  <c r="X70" i="8"/>
  <c r="X69" i="8"/>
  <c r="I67" i="8"/>
  <c r="T67" i="8"/>
  <c r="T65" i="8"/>
  <c r="X66" i="8"/>
  <c r="H95" i="66"/>
  <c r="M10" i="66"/>
  <c r="H85" i="66"/>
  <c r="M9" i="66"/>
  <c r="M8" i="66"/>
  <c r="H71" i="66"/>
  <c r="M56" i="66"/>
  <c r="M59" i="65"/>
  <c r="I53" i="63"/>
  <c r="I55" i="63" s="1"/>
  <c r="E58" i="8" s="1"/>
  <c r="M53" i="63"/>
  <c r="M6" i="63"/>
  <c r="K41" i="63"/>
  <c r="L41" i="63" s="1"/>
  <c r="H41" i="63"/>
  <c r="M6" i="62"/>
  <c r="H42" i="62"/>
  <c r="K42" i="62"/>
  <c r="L42" i="62" s="1"/>
  <c r="M46" i="60"/>
  <c r="I46" i="60"/>
  <c r="I52" i="60" s="1"/>
  <c r="F55" i="8" s="1"/>
  <c r="I46" i="51"/>
  <c r="I52" i="51" s="1"/>
  <c r="F47" i="8" s="1"/>
  <c r="M46" i="51"/>
  <c r="G27" i="55" s="1"/>
  <c r="M56" i="63"/>
  <c r="I52" i="53"/>
  <c r="F49" i="8" s="1"/>
  <c r="I46" i="62"/>
  <c r="I52" i="62" s="1"/>
  <c r="F57" i="8" s="1"/>
  <c r="M46" i="62"/>
  <c r="G32" i="55" s="1"/>
  <c r="M52" i="61"/>
  <c r="I52" i="61"/>
  <c r="I54" i="61" s="1"/>
  <c r="E56" i="8" s="1"/>
  <c r="C31" i="55" s="1"/>
  <c r="J31" i="55" s="1"/>
  <c r="I44" i="57"/>
  <c r="I50" i="57" s="1"/>
  <c r="F52" i="8" s="1"/>
  <c r="M44" i="57"/>
  <c r="G29" i="55" s="1"/>
  <c r="I43" i="50"/>
  <c r="I49" i="50" s="1"/>
  <c r="F46" i="8" s="1"/>
  <c r="M43" i="50"/>
  <c r="M54" i="50" s="1"/>
  <c r="M44" i="59"/>
  <c r="M55" i="59" s="1"/>
  <c r="I44" i="59"/>
  <c r="I50" i="59" s="1"/>
  <c r="F54" i="8" s="1"/>
  <c r="I46" i="58"/>
  <c r="I52" i="58" s="1"/>
  <c r="F53" i="8" s="1"/>
  <c r="M46" i="58"/>
  <c r="I45" i="45"/>
  <c r="I51" i="45" s="1"/>
  <c r="F41" i="8" s="1"/>
  <c r="M45" i="45"/>
  <c r="G24" i="55" s="1"/>
  <c r="I54" i="62"/>
  <c r="M54" i="62"/>
  <c r="M10" i="63"/>
  <c r="H95" i="63"/>
  <c r="H85" i="63"/>
  <c r="M9" i="63"/>
  <c r="M8" i="63"/>
  <c r="H71" i="63"/>
  <c r="H97" i="62"/>
  <c r="M10" i="62"/>
  <c r="H87" i="62"/>
  <c r="M9" i="62"/>
  <c r="H73" i="62"/>
  <c r="M8" i="62"/>
  <c r="H36" i="55"/>
  <c r="H94" i="61"/>
  <c r="M10" i="61"/>
  <c r="H84" i="61"/>
  <c r="M9" i="61"/>
  <c r="H70" i="61"/>
  <c r="M8" i="61"/>
  <c r="K42" i="60"/>
  <c r="L42" i="60" s="1"/>
  <c r="M6" i="60"/>
  <c r="H42" i="60"/>
  <c r="H96" i="60"/>
  <c r="M10" i="60"/>
  <c r="H86" i="60"/>
  <c r="M9" i="60"/>
  <c r="H72" i="60"/>
  <c r="M8" i="60"/>
  <c r="H94" i="59"/>
  <c r="M10" i="59"/>
  <c r="H84" i="59"/>
  <c r="M9" i="59"/>
  <c r="M8" i="59"/>
  <c r="H70" i="59"/>
  <c r="H96" i="58"/>
  <c r="M10" i="58"/>
  <c r="H86" i="58"/>
  <c r="M9" i="58"/>
  <c r="H72" i="58"/>
  <c r="M8" i="58"/>
  <c r="M45" i="49"/>
  <c r="I45" i="49"/>
  <c r="I51" i="49" s="1"/>
  <c r="F45" i="8" s="1"/>
  <c r="M45" i="48"/>
  <c r="I45" i="48"/>
  <c r="I51" i="48" s="1"/>
  <c r="F44" i="8" s="1"/>
  <c r="G25" i="55"/>
  <c r="J25" i="55"/>
  <c r="J21" i="55"/>
  <c r="J24" i="55"/>
  <c r="J23" i="55"/>
  <c r="J22" i="55"/>
  <c r="J20" i="55"/>
  <c r="K41" i="48"/>
  <c r="L41" i="48" s="1"/>
  <c r="I50" i="44"/>
  <c r="J41" i="49"/>
  <c r="K41" i="49"/>
  <c r="L41" i="49" s="1"/>
  <c r="I36" i="55"/>
  <c r="J5" i="55"/>
  <c r="J40" i="55" s="1"/>
  <c r="I53" i="49"/>
  <c r="I55" i="49" s="1"/>
  <c r="E45" i="8" s="1"/>
  <c r="C26" i="55" s="1"/>
  <c r="J26" i="55" s="1"/>
  <c r="M53" i="49"/>
  <c r="D26" i="55" s="1"/>
  <c r="I53" i="47"/>
  <c r="I55" i="47" s="1"/>
  <c r="E43" i="8" s="1"/>
  <c r="M53" i="47"/>
  <c r="M56" i="47" s="1"/>
  <c r="J55" i="44"/>
  <c r="I55" i="44" s="1"/>
  <c r="I47" i="44"/>
  <c r="H40" i="57"/>
  <c r="M6" i="57"/>
  <c r="H70" i="57"/>
  <c r="M8" i="57"/>
  <c r="M9" i="57"/>
  <c r="H84" i="57"/>
  <c r="M10" i="56"/>
  <c r="M9" i="56"/>
  <c r="H86" i="56"/>
  <c r="H72" i="56"/>
  <c r="M8" i="56"/>
  <c r="K40" i="54"/>
  <c r="L40" i="54" s="1"/>
  <c r="H40" i="54"/>
  <c r="H42" i="53"/>
  <c r="M6" i="53"/>
  <c r="K42" i="53"/>
  <c r="L42" i="53" s="1"/>
  <c r="J19" i="55"/>
  <c r="E36" i="55"/>
  <c r="H41" i="55"/>
  <c r="H94" i="54"/>
  <c r="M10" i="54"/>
  <c r="H84" i="54"/>
  <c r="M9" i="54"/>
  <c r="H70" i="54"/>
  <c r="M8" i="54"/>
  <c r="M10" i="53"/>
  <c r="H96" i="53"/>
  <c r="H86" i="53"/>
  <c r="M9" i="53"/>
  <c r="M8" i="53"/>
  <c r="H72" i="53"/>
  <c r="K40" i="52"/>
  <c r="L40" i="52" s="1"/>
  <c r="M6" i="52"/>
  <c r="H40" i="52"/>
  <c r="M10" i="51"/>
  <c r="H96" i="51"/>
  <c r="H94" i="52"/>
  <c r="M10" i="52"/>
  <c r="H84" i="52"/>
  <c r="M9" i="52"/>
  <c r="H70" i="52"/>
  <c r="M8" i="52"/>
  <c r="H86" i="51"/>
  <c r="M9" i="51"/>
  <c r="H72" i="51"/>
  <c r="M8" i="51"/>
  <c r="H93" i="50"/>
  <c r="M10" i="50"/>
  <c r="H83" i="50"/>
  <c r="M9" i="50"/>
  <c r="H69" i="50"/>
  <c r="M8" i="50"/>
  <c r="H95" i="49"/>
  <c r="M10" i="49"/>
  <c r="H85" i="49"/>
  <c r="M9" i="49"/>
  <c r="H71" i="49"/>
  <c r="M8" i="49"/>
  <c r="H95" i="48"/>
  <c r="M10" i="48"/>
  <c r="H85" i="48"/>
  <c r="M9" i="48"/>
  <c r="H71" i="48"/>
  <c r="M8" i="48"/>
  <c r="H95" i="47"/>
  <c r="M10" i="47"/>
  <c r="H85" i="47"/>
  <c r="M9" i="47"/>
  <c r="M8" i="47"/>
  <c r="H71" i="47"/>
  <c r="H41" i="46"/>
  <c r="K41" i="46"/>
  <c r="L41" i="46" s="1"/>
  <c r="H95" i="46"/>
  <c r="M10" i="46"/>
  <c r="H85" i="46"/>
  <c r="M9" i="46"/>
  <c r="H71" i="46"/>
  <c r="M8" i="46"/>
  <c r="H95" i="45"/>
  <c r="M10" i="45"/>
  <c r="H85" i="45"/>
  <c r="M9" i="45"/>
  <c r="H71" i="45"/>
  <c r="M8" i="45"/>
  <c r="H89" i="43"/>
  <c r="H88" i="43"/>
  <c r="H86" i="43"/>
  <c r="H85" i="43"/>
  <c r="U42" i="43"/>
  <c r="H50" i="43" s="1"/>
  <c r="H74" i="42"/>
  <c r="H71" i="42"/>
  <c r="H70" i="42"/>
  <c r="H86" i="41"/>
  <c r="I45" i="42"/>
  <c r="J45" i="42" s="1"/>
  <c r="H74" i="40"/>
  <c r="H73" i="40"/>
  <c r="U41" i="40"/>
  <c r="H49" i="40" s="1"/>
  <c r="I45" i="40"/>
  <c r="J45" i="40" s="1"/>
  <c r="H74" i="39"/>
  <c r="H72" i="39"/>
  <c r="U41" i="39"/>
  <c r="H49" i="39" s="1"/>
  <c r="I50" i="38"/>
  <c r="U41" i="38"/>
  <c r="H49" i="38" s="1"/>
  <c r="H89" i="37"/>
  <c r="H88" i="37"/>
  <c r="H85" i="44"/>
  <c r="H75" i="39"/>
  <c r="I45" i="39"/>
  <c r="J45" i="39" s="1"/>
  <c r="I50" i="39"/>
  <c r="M12" i="39"/>
  <c r="G82" i="39"/>
  <c r="H82" i="39" s="1"/>
  <c r="H86" i="39"/>
  <c r="I58" i="39"/>
  <c r="H81" i="44"/>
  <c r="H82" i="44"/>
  <c r="H83" i="44"/>
  <c r="H84" i="44"/>
  <c r="H70" i="43"/>
  <c r="I59" i="43"/>
  <c r="I51" i="43"/>
  <c r="H72" i="43"/>
  <c r="I46" i="43"/>
  <c r="J46" i="43" s="1"/>
  <c r="H71" i="43"/>
  <c r="H74" i="43"/>
  <c r="H75" i="43"/>
  <c r="U41" i="42"/>
  <c r="H49" i="42" s="1"/>
  <c r="H72" i="42"/>
  <c r="H84" i="42"/>
  <c r="H85" i="42"/>
  <c r="I50" i="42"/>
  <c r="H86" i="42"/>
  <c r="H87" i="42"/>
  <c r="H88" i="42"/>
  <c r="M12" i="42"/>
  <c r="H73" i="42"/>
  <c r="U42" i="41"/>
  <c r="H50" i="41" s="1"/>
  <c r="H83" i="40"/>
  <c r="H84" i="40"/>
  <c r="H85" i="40"/>
  <c r="H72" i="40"/>
  <c r="I50" i="40"/>
  <c r="H69" i="40"/>
  <c r="H86" i="40"/>
  <c r="I58" i="40"/>
  <c r="H70" i="40"/>
  <c r="H87" i="40"/>
  <c r="H71" i="40"/>
  <c r="H88" i="40"/>
  <c r="G81" i="39"/>
  <c r="H81" i="39" s="1"/>
  <c r="H84" i="39"/>
  <c r="H85" i="39"/>
  <c r="H87" i="39"/>
  <c r="H70" i="39"/>
  <c r="H71" i="39"/>
  <c r="H89" i="39"/>
  <c r="H84" i="38"/>
  <c r="H85" i="38"/>
  <c r="H83" i="38"/>
  <c r="I45" i="38"/>
  <c r="J45" i="38" s="1"/>
  <c r="H86" i="38"/>
  <c r="H69" i="38"/>
  <c r="H87" i="38"/>
  <c r="I58" i="38"/>
  <c r="H70" i="38"/>
  <c r="H88" i="38"/>
  <c r="H71" i="38"/>
  <c r="G99" i="38"/>
  <c r="H73" i="38"/>
  <c r="H74" i="38"/>
  <c r="H73" i="37"/>
  <c r="H74" i="37"/>
  <c r="H75" i="37"/>
  <c r="H71" i="37"/>
  <c r="H72" i="37"/>
  <c r="M12" i="37"/>
  <c r="I50" i="37"/>
  <c r="M12" i="44"/>
  <c r="H66" i="44"/>
  <c r="H67" i="44"/>
  <c r="U38" i="44"/>
  <c r="H46" i="44" s="1"/>
  <c r="H68" i="44"/>
  <c r="H69" i="44"/>
  <c r="H70" i="44"/>
  <c r="I42" i="44"/>
  <c r="J42" i="44" s="1"/>
  <c r="H71" i="44"/>
  <c r="H80" i="44"/>
  <c r="G64" i="44"/>
  <c r="H64" i="44" s="1"/>
  <c r="G86" i="44"/>
  <c r="M9" i="44" s="1"/>
  <c r="G96" i="44"/>
  <c r="H96" i="44" s="1"/>
  <c r="G78" i="44"/>
  <c r="H78" i="44" s="1"/>
  <c r="G72" i="44"/>
  <c r="H93" i="44"/>
  <c r="G42" i="44"/>
  <c r="H73" i="43"/>
  <c r="G90" i="43"/>
  <c r="M9" i="43" s="1"/>
  <c r="G46" i="43"/>
  <c r="G68" i="43"/>
  <c r="H68" i="43" s="1"/>
  <c r="H87" i="43"/>
  <c r="G82" i="43"/>
  <c r="H82" i="43" s="1"/>
  <c r="H84" i="43"/>
  <c r="G76" i="43"/>
  <c r="G100" i="43"/>
  <c r="G89" i="42"/>
  <c r="M9" i="42" s="1"/>
  <c r="G67" i="42"/>
  <c r="H67" i="42" s="1"/>
  <c r="G45" i="42"/>
  <c r="H45" i="42" s="1"/>
  <c r="G75" i="42"/>
  <c r="M8" i="42" s="1"/>
  <c r="H69" i="42"/>
  <c r="G81" i="42"/>
  <c r="H81" i="42" s="1"/>
  <c r="G99" i="42"/>
  <c r="M10" i="42" s="1"/>
  <c r="H83" i="42"/>
  <c r="H96" i="42"/>
  <c r="H84" i="41"/>
  <c r="H85" i="41"/>
  <c r="I46" i="41"/>
  <c r="J46" i="41" s="1"/>
  <c r="H87" i="41"/>
  <c r="H88" i="41"/>
  <c r="I59" i="41"/>
  <c r="H74" i="41"/>
  <c r="H70" i="41"/>
  <c r="H71" i="41"/>
  <c r="H89" i="41"/>
  <c r="H72" i="41"/>
  <c r="H75" i="41"/>
  <c r="G46" i="41"/>
  <c r="H46" i="41" s="1"/>
  <c r="G68" i="41"/>
  <c r="H68" i="41" s="1"/>
  <c r="H73" i="41"/>
  <c r="G82" i="41"/>
  <c r="H82" i="41" s="1"/>
  <c r="H100" i="41"/>
  <c r="M10" i="41"/>
  <c r="G90" i="41"/>
  <c r="G76" i="41"/>
  <c r="H97" i="41"/>
  <c r="G45" i="40"/>
  <c r="M6" i="40" s="1"/>
  <c r="G67" i="40"/>
  <c r="H67" i="40" s="1"/>
  <c r="G81" i="40"/>
  <c r="H81" i="40" s="1"/>
  <c r="G89" i="40"/>
  <c r="G75" i="40"/>
  <c r="G99" i="40"/>
  <c r="H88" i="39"/>
  <c r="G68" i="39"/>
  <c r="H68" i="39" s="1"/>
  <c r="G100" i="39"/>
  <c r="H100" i="39" s="1"/>
  <c r="G45" i="39"/>
  <c r="H45" i="39" s="1"/>
  <c r="H73" i="39"/>
  <c r="G76" i="39"/>
  <c r="H97" i="39"/>
  <c r="G90" i="39"/>
  <c r="G45" i="38"/>
  <c r="H45" i="38" s="1"/>
  <c r="H72" i="38"/>
  <c r="G67" i="38"/>
  <c r="H67" i="38" s="1"/>
  <c r="G81" i="38"/>
  <c r="H81" i="38" s="1"/>
  <c r="G75" i="38"/>
  <c r="H96" i="38"/>
  <c r="G89" i="38"/>
  <c r="I45" i="37"/>
  <c r="J45" i="37" s="1"/>
  <c r="H86" i="37"/>
  <c r="I58" i="37"/>
  <c r="H70" i="37"/>
  <c r="U41" i="37"/>
  <c r="H49" i="37" s="1"/>
  <c r="H84" i="37"/>
  <c r="H85" i="37"/>
  <c r="G45" i="37"/>
  <c r="G100" i="37"/>
  <c r="H100" i="37" s="1"/>
  <c r="H87" i="37"/>
  <c r="G68" i="37"/>
  <c r="H68" i="37" s="1"/>
  <c r="G82" i="37"/>
  <c r="H82" i="37" s="1"/>
  <c r="G90" i="37"/>
  <c r="H97" i="37"/>
  <c r="G76" i="37"/>
  <c r="J23" i="36"/>
  <c r="N22" i="36"/>
  <c r="G95" i="36"/>
  <c r="H95" i="36" s="1"/>
  <c r="G94" i="36"/>
  <c r="H94" i="36" s="1"/>
  <c r="G93" i="36"/>
  <c r="D89" i="36"/>
  <c r="G85" i="36"/>
  <c r="G84" i="36"/>
  <c r="G83" i="36"/>
  <c r="G82" i="36"/>
  <c r="G81" i="36"/>
  <c r="G80" i="36"/>
  <c r="H80" i="36" s="1"/>
  <c r="G76" i="36"/>
  <c r="D75" i="36"/>
  <c r="G71" i="36"/>
  <c r="G70" i="36"/>
  <c r="G69" i="36"/>
  <c r="G68" i="36"/>
  <c r="G67" i="36"/>
  <c r="G66" i="36"/>
  <c r="G63" i="36"/>
  <c r="H63" i="36" s="1"/>
  <c r="G62" i="36"/>
  <c r="D61" i="36"/>
  <c r="K55" i="36"/>
  <c r="M55" i="36" s="1"/>
  <c r="K50" i="36"/>
  <c r="J50" i="36"/>
  <c r="I50" i="36" s="1"/>
  <c r="J49" i="36"/>
  <c r="I49" i="36" s="1"/>
  <c r="I48" i="36"/>
  <c r="K47" i="36"/>
  <c r="M47" i="36" s="1"/>
  <c r="J47" i="36"/>
  <c r="J55" i="36" s="1"/>
  <c r="I47" i="36"/>
  <c r="L43" i="36"/>
  <c r="J43" i="36"/>
  <c r="H43" i="36"/>
  <c r="M7" i="36" s="1"/>
  <c r="D42" i="36"/>
  <c r="K41" i="36"/>
  <c r="D41" i="36"/>
  <c r="X38" i="36"/>
  <c r="W38" i="36"/>
  <c r="V38" i="36"/>
  <c r="S38" i="36"/>
  <c r="J38" i="36"/>
  <c r="P32" i="8" s="1"/>
  <c r="X37" i="36"/>
  <c r="W37" i="36"/>
  <c r="V37" i="36"/>
  <c r="S37" i="36"/>
  <c r="J37" i="36"/>
  <c r="X36" i="36"/>
  <c r="W36" i="36"/>
  <c r="V36" i="36"/>
  <c r="S36" i="36"/>
  <c r="J36" i="36"/>
  <c r="X35" i="36"/>
  <c r="W35" i="36"/>
  <c r="V35" i="36"/>
  <c r="U35" i="36"/>
  <c r="S35" i="36"/>
  <c r="J35" i="36"/>
  <c r="X34" i="36"/>
  <c r="W34" i="36"/>
  <c r="V34" i="36"/>
  <c r="U34" i="36"/>
  <c r="C34" i="36"/>
  <c r="W33" i="36"/>
  <c r="V33" i="36"/>
  <c r="U33" i="36"/>
  <c r="X32" i="36"/>
  <c r="W32" i="36"/>
  <c r="V32" i="36"/>
  <c r="U32" i="36"/>
  <c r="X31" i="36"/>
  <c r="W31" i="36"/>
  <c r="V31" i="36"/>
  <c r="U31" i="36"/>
  <c r="C31" i="36"/>
  <c r="X30" i="36"/>
  <c r="W30" i="36"/>
  <c r="V30" i="36"/>
  <c r="U30" i="36"/>
  <c r="J30" i="36"/>
  <c r="C30" i="36"/>
  <c r="C32" i="36" s="1"/>
  <c r="X27" i="36"/>
  <c r="W27" i="36"/>
  <c r="V27" i="36"/>
  <c r="S27" i="36"/>
  <c r="J27" i="36"/>
  <c r="O32" i="8" s="1"/>
  <c r="X26" i="36"/>
  <c r="W26" i="36"/>
  <c r="V26" i="36"/>
  <c r="U26" i="36"/>
  <c r="C26" i="36"/>
  <c r="X25" i="36"/>
  <c r="W25" i="36"/>
  <c r="V25" i="36"/>
  <c r="U25" i="36"/>
  <c r="C25" i="36"/>
  <c r="X24" i="36"/>
  <c r="W24" i="36"/>
  <c r="V24" i="36"/>
  <c r="U24" i="36"/>
  <c r="J24" i="36"/>
  <c r="C24" i="36"/>
  <c r="X23" i="36"/>
  <c r="W23" i="36"/>
  <c r="V23" i="36"/>
  <c r="S23" i="36"/>
  <c r="C23" i="36"/>
  <c r="X22" i="36"/>
  <c r="W22" i="36"/>
  <c r="V22" i="36"/>
  <c r="S22" i="36"/>
  <c r="J22" i="36"/>
  <c r="C22" i="36"/>
  <c r="X21" i="36"/>
  <c r="W21" i="36"/>
  <c r="V21" i="36"/>
  <c r="U21" i="36"/>
  <c r="S21" i="36"/>
  <c r="J21" i="36"/>
  <c r="C21" i="36"/>
  <c r="D18" i="36"/>
  <c r="D17" i="36"/>
  <c r="D16" i="36"/>
  <c r="D15" i="36"/>
  <c r="M11" i="36"/>
  <c r="J38" i="35"/>
  <c r="P31" i="8" s="1"/>
  <c r="J30" i="35"/>
  <c r="J27" i="35"/>
  <c r="O31" i="8" s="1"/>
  <c r="N24" i="35"/>
  <c r="J22" i="35"/>
  <c r="J21" i="35"/>
  <c r="J24" i="35"/>
  <c r="D34" i="55" l="1"/>
  <c r="M60" i="67"/>
  <c r="I58" i="65"/>
  <c r="E59" i="8" s="1"/>
  <c r="G31" i="55"/>
  <c r="M57" i="60"/>
  <c r="D31" i="55"/>
  <c r="M55" i="61"/>
  <c r="G30" i="55"/>
  <c r="M57" i="58"/>
  <c r="D32" i="55"/>
  <c r="M58" i="62"/>
  <c r="M56" i="49"/>
  <c r="G26" i="55"/>
  <c r="H82" i="36"/>
  <c r="I50" i="43"/>
  <c r="M50" i="43"/>
  <c r="I49" i="40"/>
  <c r="M49" i="40"/>
  <c r="I49" i="39"/>
  <c r="I55" i="39" s="1"/>
  <c r="F35" i="8" s="1"/>
  <c r="M49" i="39"/>
  <c r="I49" i="38"/>
  <c r="I55" i="38" s="1"/>
  <c r="F34" i="8" s="1"/>
  <c r="M49" i="38"/>
  <c r="I49" i="42"/>
  <c r="I55" i="42" s="1"/>
  <c r="F38" i="8" s="1"/>
  <c r="M49" i="42"/>
  <c r="I50" i="41"/>
  <c r="I56" i="41" s="1"/>
  <c r="F37" i="8" s="1"/>
  <c r="M50" i="41"/>
  <c r="I46" i="44"/>
  <c r="I52" i="44" s="1"/>
  <c r="F40" i="8" s="1"/>
  <c r="M46" i="44"/>
  <c r="I49" i="37"/>
  <c r="M49" i="37"/>
  <c r="J41" i="55"/>
  <c r="I56" i="43"/>
  <c r="F39" i="8" s="1"/>
  <c r="I55" i="40"/>
  <c r="F36" i="8" s="1"/>
  <c r="H84" i="36"/>
  <c r="K46" i="43"/>
  <c r="L46" i="43" s="1"/>
  <c r="I55" i="37"/>
  <c r="F33" i="8" s="1"/>
  <c r="H85" i="36"/>
  <c r="H81" i="36"/>
  <c r="H68" i="36"/>
  <c r="U38" i="36"/>
  <c r="H46" i="36" s="1"/>
  <c r="M12" i="36"/>
  <c r="M10" i="38"/>
  <c r="H99" i="38"/>
  <c r="K45" i="39"/>
  <c r="L45" i="39" s="1"/>
  <c r="M6" i="39"/>
  <c r="K45" i="37"/>
  <c r="L45" i="37" s="1"/>
  <c r="M10" i="44"/>
  <c r="H86" i="44"/>
  <c r="M8" i="44"/>
  <c r="H72" i="44"/>
  <c r="H42" i="44"/>
  <c r="M6" i="44"/>
  <c r="K42" i="44"/>
  <c r="L42" i="44" s="1"/>
  <c r="M6" i="43"/>
  <c r="H46" i="43"/>
  <c r="H90" i="43"/>
  <c r="H100" i="43"/>
  <c r="M10" i="43"/>
  <c r="M8" i="43"/>
  <c r="H76" i="43"/>
  <c r="H75" i="42"/>
  <c r="H89" i="42"/>
  <c r="H99" i="42"/>
  <c r="K45" i="42"/>
  <c r="L45" i="42" s="1"/>
  <c r="M6" i="42"/>
  <c r="K46" i="41"/>
  <c r="L46" i="41" s="1"/>
  <c r="M6" i="41"/>
  <c r="M8" i="41"/>
  <c r="H76" i="41"/>
  <c r="M9" i="41"/>
  <c r="H90" i="41"/>
  <c r="K45" i="40"/>
  <c r="L45" i="40" s="1"/>
  <c r="H45" i="40"/>
  <c r="H99" i="40"/>
  <c r="M10" i="40"/>
  <c r="H75" i="40"/>
  <c r="M8" i="40"/>
  <c r="M9" i="40"/>
  <c r="H89" i="40"/>
  <c r="M10" i="39"/>
  <c r="M9" i="39"/>
  <c r="H90" i="39"/>
  <c r="M8" i="39"/>
  <c r="H76" i="39"/>
  <c r="K45" i="38"/>
  <c r="L45" i="38" s="1"/>
  <c r="M6" i="38"/>
  <c r="M9" i="38"/>
  <c r="H89" i="38"/>
  <c r="H75" i="38"/>
  <c r="M8" i="38"/>
  <c r="M10" i="37"/>
  <c r="H45" i="37"/>
  <c r="M6" i="37"/>
  <c r="M8" i="37"/>
  <c r="H76" i="37"/>
  <c r="M9" i="37"/>
  <c r="H90" i="37"/>
  <c r="I42" i="36"/>
  <c r="J42" i="36" s="1"/>
  <c r="G77" i="36"/>
  <c r="H77" i="36" s="1"/>
  <c r="H70" i="36"/>
  <c r="I55" i="36"/>
  <c r="H71" i="36"/>
  <c r="H66" i="36"/>
  <c r="H67" i="36"/>
  <c r="G42" i="36"/>
  <c r="K42" i="36" s="1"/>
  <c r="L42" i="36" s="1"/>
  <c r="G96" i="36"/>
  <c r="H96" i="36" s="1"/>
  <c r="H83" i="36"/>
  <c r="G78" i="36"/>
  <c r="H78" i="36" s="1"/>
  <c r="G64" i="36"/>
  <c r="H64" i="36" s="1"/>
  <c r="H69" i="36"/>
  <c r="M6" i="36"/>
  <c r="G72" i="36"/>
  <c r="H93" i="36"/>
  <c r="G86" i="36"/>
  <c r="G94" i="35"/>
  <c r="H94" i="35" s="1"/>
  <c r="G93" i="35"/>
  <c r="H93" i="35" s="1"/>
  <c r="G92" i="35"/>
  <c r="D88" i="35"/>
  <c r="G84" i="35"/>
  <c r="G83" i="35"/>
  <c r="G82" i="35"/>
  <c r="G81" i="35"/>
  <c r="G80" i="35"/>
  <c r="G79" i="35"/>
  <c r="G76" i="35"/>
  <c r="H76" i="35" s="1"/>
  <c r="G75" i="35"/>
  <c r="D74" i="35"/>
  <c r="G70" i="35"/>
  <c r="G69" i="35"/>
  <c r="G68" i="35"/>
  <c r="G67" i="35"/>
  <c r="G66" i="35"/>
  <c r="G65" i="35"/>
  <c r="G61" i="35"/>
  <c r="D60" i="35"/>
  <c r="K54" i="35"/>
  <c r="M54" i="35" s="1"/>
  <c r="K50" i="35"/>
  <c r="J50" i="35"/>
  <c r="I50" i="35"/>
  <c r="J49" i="35"/>
  <c r="I49" i="35"/>
  <c r="I48" i="35"/>
  <c r="K47" i="35"/>
  <c r="M47" i="35" s="1"/>
  <c r="J47" i="35"/>
  <c r="J54" i="35" s="1"/>
  <c r="I54" i="35" s="1"/>
  <c r="I47" i="35"/>
  <c r="L43" i="35"/>
  <c r="J43" i="35"/>
  <c r="H43" i="35"/>
  <c r="M7" i="35" s="1"/>
  <c r="D42" i="35"/>
  <c r="K41" i="35"/>
  <c r="D41" i="35"/>
  <c r="X38" i="35"/>
  <c r="W38" i="35"/>
  <c r="V38" i="35"/>
  <c r="S38" i="35"/>
  <c r="X37" i="35"/>
  <c r="W37" i="35"/>
  <c r="V37" i="35"/>
  <c r="S37" i="35"/>
  <c r="J37" i="35"/>
  <c r="X36" i="35"/>
  <c r="W36" i="35"/>
  <c r="V36" i="35"/>
  <c r="S36" i="35"/>
  <c r="J36" i="35"/>
  <c r="X35" i="35"/>
  <c r="W35" i="35"/>
  <c r="V35" i="35"/>
  <c r="U35" i="35"/>
  <c r="S35" i="35"/>
  <c r="J35" i="35"/>
  <c r="X34" i="35"/>
  <c r="W34" i="35"/>
  <c r="V34" i="35"/>
  <c r="U34" i="35"/>
  <c r="C34" i="35"/>
  <c r="W33" i="35"/>
  <c r="V33" i="35"/>
  <c r="U33" i="35"/>
  <c r="G62" i="35"/>
  <c r="H62" i="35" s="1"/>
  <c r="X32" i="35"/>
  <c r="W32" i="35"/>
  <c r="V32" i="35"/>
  <c r="U32" i="35"/>
  <c r="X31" i="35"/>
  <c r="W31" i="35"/>
  <c r="V31" i="35"/>
  <c r="U31" i="35"/>
  <c r="C31" i="35"/>
  <c r="X30" i="35"/>
  <c r="W30" i="35"/>
  <c r="V30" i="35"/>
  <c r="U30" i="35"/>
  <c r="I42" i="35"/>
  <c r="J42" i="35" s="1"/>
  <c r="C30" i="35"/>
  <c r="C32" i="35" s="1"/>
  <c r="X27" i="35"/>
  <c r="W27" i="35"/>
  <c r="V27" i="35"/>
  <c r="S27" i="35"/>
  <c r="X26" i="35"/>
  <c r="W26" i="35"/>
  <c r="V26" i="35"/>
  <c r="U26" i="35"/>
  <c r="C26" i="35"/>
  <c r="X25" i="35"/>
  <c r="W25" i="35"/>
  <c r="V25" i="35"/>
  <c r="U25" i="35"/>
  <c r="C25" i="35"/>
  <c r="X24" i="35"/>
  <c r="W24" i="35"/>
  <c r="V24" i="35"/>
  <c r="C24" i="35"/>
  <c r="X23" i="35"/>
  <c r="W23" i="35"/>
  <c r="V23" i="35"/>
  <c r="U23" i="35"/>
  <c r="S23" i="35"/>
  <c r="J23" i="35"/>
  <c r="G42" i="35" s="1"/>
  <c r="C23" i="35"/>
  <c r="X22" i="35"/>
  <c r="W22" i="35"/>
  <c r="V22" i="35"/>
  <c r="U22" i="35"/>
  <c r="S22" i="35"/>
  <c r="C22" i="35"/>
  <c r="X21" i="35"/>
  <c r="W21" i="35"/>
  <c r="V21" i="35"/>
  <c r="U21" i="35"/>
  <c r="S21" i="35"/>
  <c r="C21" i="35"/>
  <c r="D18" i="35"/>
  <c r="D17" i="35"/>
  <c r="D16" i="35"/>
  <c r="D15" i="35"/>
  <c r="M12" i="35"/>
  <c r="M11" i="35"/>
  <c r="K33" i="34"/>
  <c r="J28" i="34"/>
  <c r="O30" i="8" s="1"/>
  <c r="K25" i="34"/>
  <c r="K24" i="34"/>
  <c r="K22" i="34"/>
  <c r="V35" i="34"/>
  <c r="V34" i="34"/>
  <c r="J37" i="34"/>
  <c r="P30" i="8" s="1"/>
  <c r="Q30" i="8" s="1"/>
  <c r="G92" i="34"/>
  <c r="H92" i="34" s="1"/>
  <c r="G91" i="34"/>
  <c r="H91" i="34" s="1"/>
  <c r="G90" i="34"/>
  <c r="D86" i="34"/>
  <c r="G82" i="34"/>
  <c r="G81" i="34"/>
  <c r="G80" i="34"/>
  <c r="G79" i="34"/>
  <c r="G78" i="34"/>
  <c r="G77" i="34"/>
  <c r="G73" i="34"/>
  <c r="D72" i="34"/>
  <c r="G68" i="34"/>
  <c r="G67" i="34"/>
  <c r="G66" i="34"/>
  <c r="G65" i="34"/>
  <c r="G64" i="34"/>
  <c r="G63" i="34"/>
  <c r="G59" i="34"/>
  <c r="D58" i="34"/>
  <c r="K55" i="34"/>
  <c r="J55" i="34"/>
  <c r="K52" i="34"/>
  <c r="M52" i="34" s="1"/>
  <c r="J48" i="34"/>
  <c r="I48" i="34" s="1"/>
  <c r="I47" i="34"/>
  <c r="K46" i="34"/>
  <c r="M46" i="34" s="1"/>
  <c r="J46" i="34"/>
  <c r="J52" i="34" s="1"/>
  <c r="I52" i="34" s="1"/>
  <c r="I46" i="34"/>
  <c r="L42" i="34"/>
  <c r="J42" i="34"/>
  <c r="H42" i="34"/>
  <c r="D41" i="34"/>
  <c r="K40" i="34"/>
  <c r="D40" i="34"/>
  <c r="X37" i="34"/>
  <c r="W37" i="34"/>
  <c r="V37" i="34"/>
  <c r="S37" i="34"/>
  <c r="X36" i="34"/>
  <c r="W36" i="34"/>
  <c r="V36" i="34"/>
  <c r="S36" i="34"/>
  <c r="J36" i="34"/>
  <c r="X35" i="34"/>
  <c r="W35" i="34"/>
  <c r="S35" i="34"/>
  <c r="J35" i="34"/>
  <c r="W34" i="34"/>
  <c r="S34" i="34"/>
  <c r="J34" i="34"/>
  <c r="X33" i="34"/>
  <c r="W33" i="34"/>
  <c r="V33" i="34"/>
  <c r="S33" i="34"/>
  <c r="J33" i="34"/>
  <c r="X32" i="34"/>
  <c r="W32" i="34"/>
  <c r="V32" i="34"/>
  <c r="S32" i="34"/>
  <c r="J32" i="34"/>
  <c r="X31" i="34"/>
  <c r="W31" i="34"/>
  <c r="V31" i="34"/>
  <c r="S31" i="34"/>
  <c r="J31" i="34"/>
  <c r="C31" i="34"/>
  <c r="C34" i="34" s="1"/>
  <c r="C35" i="34" s="1"/>
  <c r="X28" i="34"/>
  <c r="W28" i="34"/>
  <c r="V28" i="34"/>
  <c r="S28" i="34"/>
  <c r="X27" i="34"/>
  <c r="W27" i="34"/>
  <c r="V27" i="34"/>
  <c r="U27" i="34"/>
  <c r="J27" i="34"/>
  <c r="C27" i="34"/>
  <c r="X26" i="34"/>
  <c r="W26" i="34"/>
  <c r="V26" i="34"/>
  <c r="U26" i="34"/>
  <c r="J26" i="34"/>
  <c r="C26" i="34"/>
  <c r="X25" i="34"/>
  <c r="W25" i="34"/>
  <c r="V25" i="34"/>
  <c r="S25" i="34"/>
  <c r="J25" i="34"/>
  <c r="C25" i="34"/>
  <c r="X24" i="34"/>
  <c r="W24" i="34"/>
  <c r="V24" i="34"/>
  <c r="U24" i="34"/>
  <c r="J24" i="34"/>
  <c r="C24" i="34"/>
  <c r="X23" i="34"/>
  <c r="W23" i="34"/>
  <c r="V23" i="34"/>
  <c r="S23" i="34"/>
  <c r="J23" i="34"/>
  <c r="C23" i="34"/>
  <c r="X22" i="34"/>
  <c r="W22" i="34"/>
  <c r="V22" i="34"/>
  <c r="S22" i="34"/>
  <c r="J22" i="34"/>
  <c r="C22" i="34"/>
  <c r="X21" i="34"/>
  <c r="W21" i="34"/>
  <c r="V21" i="34"/>
  <c r="U21" i="34"/>
  <c r="S21" i="34"/>
  <c r="J21" i="34"/>
  <c r="C21" i="34"/>
  <c r="D18" i="34"/>
  <c r="D17" i="34"/>
  <c r="D16" i="34"/>
  <c r="D15" i="34"/>
  <c r="M11" i="34"/>
  <c r="M7" i="34"/>
  <c r="K54" i="33"/>
  <c r="M54" i="33" s="1"/>
  <c r="J27" i="33"/>
  <c r="O29" i="8" s="1"/>
  <c r="C26" i="33"/>
  <c r="C25" i="33"/>
  <c r="J38" i="33"/>
  <c r="P29" i="8" s="1"/>
  <c r="K50" i="33"/>
  <c r="G94" i="33"/>
  <c r="H94" i="33" s="1"/>
  <c r="G93" i="33"/>
  <c r="H93" i="33" s="1"/>
  <c r="G92" i="33"/>
  <c r="D88" i="33"/>
  <c r="G84" i="33"/>
  <c r="G83" i="33"/>
  <c r="G82" i="33"/>
  <c r="G81" i="33"/>
  <c r="G80" i="33"/>
  <c r="G79" i="33"/>
  <c r="G75" i="33"/>
  <c r="D74" i="33"/>
  <c r="G70" i="33"/>
  <c r="G69" i="33"/>
  <c r="G68" i="33"/>
  <c r="G67" i="33"/>
  <c r="G66" i="33"/>
  <c r="G65" i="33"/>
  <c r="G61" i="33"/>
  <c r="D60" i="33"/>
  <c r="J50" i="33"/>
  <c r="I50" i="33"/>
  <c r="J49" i="33"/>
  <c r="I49" i="33"/>
  <c r="I48" i="33"/>
  <c r="K47" i="33"/>
  <c r="M47" i="33" s="1"/>
  <c r="J47" i="33"/>
  <c r="J54" i="33" s="1"/>
  <c r="I47" i="33"/>
  <c r="L43" i="33"/>
  <c r="J43" i="33"/>
  <c r="H43" i="33"/>
  <c r="M7" i="33" s="1"/>
  <c r="D42" i="33"/>
  <c r="K41" i="33"/>
  <c r="D41" i="33"/>
  <c r="X38" i="33"/>
  <c r="W38" i="33"/>
  <c r="V38" i="33"/>
  <c r="S38" i="33"/>
  <c r="X37" i="33"/>
  <c r="W37" i="33"/>
  <c r="V37" i="33"/>
  <c r="S37" i="33"/>
  <c r="J37" i="33"/>
  <c r="X36" i="33"/>
  <c r="W36" i="33"/>
  <c r="V36" i="33"/>
  <c r="S36" i="33"/>
  <c r="J36" i="33"/>
  <c r="X35" i="33"/>
  <c r="W35" i="33"/>
  <c r="V35" i="33"/>
  <c r="U35" i="33"/>
  <c r="S35" i="33"/>
  <c r="J35" i="33"/>
  <c r="X34" i="33"/>
  <c r="W34" i="33"/>
  <c r="V34" i="33"/>
  <c r="S34" i="33"/>
  <c r="J34" i="33"/>
  <c r="W33" i="33"/>
  <c r="V33" i="33"/>
  <c r="S33" i="33"/>
  <c r="J33" i="33"/>
  <c r="X32" i="33"/>
  <c r="W32" i="33"/>
  <c r="V32" i="33"/>
  <c r="S32" i="33"/>
  <c r="J32" i="33"/>
  <c r="X31" i="33"/>
  <c r="W31" i="33"/>
  <c r="V31" i="33"/>
  <c r="U31" i="33"/>
  <c r="S31" i="33"/>
  <c r="J31" i="33"/>
  <c r="C31" i="33"/>
  <c r="X30" i="33"/>
  <c r="W30" i="33"/>
  <c r="V30" i="33"/>
  <c r="S30" i="33"/>
  <c r="J30" i="33"/>
  <c r="C30" i="33"/>
  <c r="C32" i="33" s="1"/>
  <c r="C34" i="33" s="1"/>
  <c r="X27" i="33"/>
  <c r="W27" i="33"/>
  <c r="V27" i="33"/>
  <c r="S27" i="33"/>
  <c r="X26" i="33"/>
  <c r="W26" i="33"/>
  <c r="V26" i="33"/>
  <c r="U26" i="33"/>
  <c r="J26" i="33"/>
  <c r="X25" i="33"/>
  <c r="W25" i="33"/>
  <c r="V25" i="33"/>
  <c r="U25" i="33"/>
  <c r="J25" i="33"/>
  <c r="X24" i="33"/>
  <c r="W24" i="33"/>
  <c r="V24" i="33"/>
  <c r="S24" i="33"/>
  <c r="J24" i="33"/>
  <c r="C24" i="33"/>
  <c r="X23" i="33"/>
  <c r="W23" i="33"/>
  <c r="V23" i="33"/>
  <c r="S23" i="33"/>
  <c r="J23" i="33"/>
  <c r="G76" i="33" s="1"/>
  <c r="H76" i="33" s="1"/>
  <c r="C23" i="33"/>
  <c r="X22" i="33"/>
  <c r="W22" i="33"/>
  <c r="V22" i="33"/>
  <c r="S22" i="33"/>
  <c r="J22" i="33"/>
  <c r="C22" i="33"/>
  <c r="X21" i="33"/>
  <c r="W21" i="33"/>
  <c r="V21" i="33"/>
  <c r="S21" i="33"/>
  <c r="C21" i="33"/>
  <c r="D18" i="33"/>
  <c r="D17" i="33"/>
  <c r="D16" i="33"/>
  <c r="D15" i="33"/>
  <c r="M12" i="33" s="1"/>
  <c r="M11" i="33"/>
  <c r="J36" i="31"/>
  <c r="J28" i="32"/>
  <c r="C27" i="32"/>
  <c r="C26" i="32"/>
  <c r="G94" i="32"/>
  <c r="H94" i="32" s="1"/>
  <c r="G93" i="32"/>
  <c r="H93" i="32" s="1"/>
  <c r="G92" i="32"/>
  <c r="D88" i="32"/>
  <c r="G84" i="32"/>
  <c r="G83" i="32"/>
  <c r="G82" i="32"/>
  <c r="G81" i="32"/>
  <c r="G80" i="32"/>
  <c r="G79" i="32"/>
  <c r="G75" i="32"/>
  <c r="D74" i="32"/>
  <c r="G70" i="32"/>
  <c r="G69" i="32"/>
  <c r="G68" i="32"/>
  <c r="G67" i="32"/>
  <c r="G66" i="32"/>
  <c r="G65" i="32"/>
  <c r="G61" i="32"/>
  <c r="D60" i="32"/>
  <c r="K57" i="32"/>
  <c r="J57" i="32"/>
  <c r="I57" i="32"/>
  <c r="K54" i="32"/>
  <c r="M54" i="32" s="1"/>
  <c r="J50" i="32"/>
  <c r="I50" i="32"/>
  <c r="I49" i="32"/>
  <c r="K48" i="32"/>
  <c r="M48" i="32" s="1"/>
  <c r="J48" i="32"/>
  <c r="J54" i="32" s="1"/>
  <c r="I54" i="32" s="1"/>
  <c r="L44" i="32"/>
  <c r="J44" i="32"/>
  <c r="H44" i="32"/>
  <c r="D43" i="32"/>
  <c r="K42" i="32"/>
  <c r="D42" i="32"/>
  <c r="X39" i="32"/>
  <c r="W39" i="32"/>
  <c r="V39" i="32"/>
  <c r="S39" i="32"/>
  <c r="J39" i="32"/>
  <c r="P28" i="8" s="1"/>
  <c r="X38" i="32"/>
  <c r="W38" i="32"/>
  <c r="V38" i="32"/>
  <c r="S38" i="32"/>
  <c r="J38" i="32"/>
  <c r="X37" i="32"/>
  <c r="W37" i="32"/>
  <c r="V37" i="32"/>
  <c r="S37" i="32"/>
  <c r="X36" i="32"/>
  <c r="W36" i="32"/>
  <c r="V36" i="32"/>
  <c r="U36" i="32"/>
  <c r="S36" i="32"/>
  <c r="X35" i="32"/>
  <c r="W35" i="32"/>
  <c r="V35" i="32"/>
  <c r="S35" i="32"/>
  <c r="J35" i="32"/>
  <c r="W34" i="32"/>
  <c r="V34" i="32"/>
  <c r="S34" i="32"/>
  <c r="J34" i="32"/>
  <c r="X33" i="32"/>
  <c r="W33" i="32"/>
  <c r="V33" i="32"/>
  <c r="S33" i="32"/>
  <c r="J33" i="32"/>
  <c r="X32" i="32"/>
  <c r="W32" i="32"/>
  <c r="V32" i="32"/>
  <c r="S32" i="32"/>
  <c r="J32" i="32"/>
  <c r="C32" i="32"/>
  <c r="X31" i="32"/>
  <c r="W31" i="32"/>
  <c r="V31" i="32"/>
  <c r="S31" i="32"/>
  <c r="J31" i="32"/>
  <c r="C31" i="32"/>
  <c r="C33" i="32" s="1"/>
  <c r="C34" i="32" s="1"/>
  <c r="X28" i="32"/>
  <c r="W28" i="32"/>
  <c r="V28" i="32"/>
  <c r="S28" i="32"/>
  <c r="O28" i="8"/>
  <c r="X27" i="32"/>
  <c r="W27" i="32"/>
  <c r="V27" i="32"/>
  <c r="U27" i="32"/>
  <c r="J27" i="32"/>
  <c r="X26" i="32"/>
  <c r="W26" i="32"/>
  <c r="V26" i="32"/>
  <c r="J26" i="32"/>
  <c r="X25" i="32"/>
  <c r="W25" i="32"/>
  <c r="V25" i="32"/>
  <c r="S25" i="32"/>
  <c r="J25" i="32"/>
  <c r="C25" i="32"/>
  <c r="X24" i="32"/>
  <c r="W24" i="32"/>
  <c r="V24" i="32"/>
  <c r="J24" i="32"/>
  <c r="C24" i="32"/>
  <c r="X23" i="32"/>
  <c r="W23" i="32"/>
  <c r="V23" i="32"/>
  <c r="S23" i="32"/>
  <c r="J23" i="32"/>
  <c r="C23" i="32"/>
  <c r="X22" i="32"/>
  <c r="W22" i="32"/>
  <c r="V22" i="32"/>
  <c r="S22" i="32"/>
  <c r="J22" i="32"/>
  <c r="C22" i="32"/>
  <c r="X21" i="32"/>
  <c r="W21" i="32"/>
  <c r="V21" i="32"/>
  <c r="S21" i="32"/>
  <c r="J21" i="32"/>
  <c r="C21" i="32"/>
  <c r="D18" i="32"/>
  <c r="D17" i="32"/>
  <c r="D16" i="32"/>
  <c r="D15" i="32"/>
  <c r="M12" i="32"/>
  <c r="M11" i="32"/>
  <c r="M7" i="32"/>
  <c r="K54" i="31"/>
  <c r="M54" i="31" s="1"/>
  <c r="J27" i="31"/>
  <c r="O27" i="8" s="1"/>
  <c r="S24" i="31"/>
  <c r="K50" i="31"/>
  <c r="I50" i="31" s="1"/>
  <c r="J38" i="31"/>
  <c r="P27" i="8" s="1"/>
  <c r="G94" i="31"/>
  <c r="H94" i="31" s="1"/>
  <c r="G93" i="31"/>
  <c r="H93" i="31" s="1"/>
  <c r="G92" i="31"/>
  <c r="D88" i="31"/>
  <c r="G84" i="31"/>
  <c r="G83" i="31"/>
  <c r="G82" i="31"/>
  <c r="G81" i="31"/>
  <c r="G80" i="31"/>
  <c r="G79" i="31"/>
  <c r="G75" i="31"/>
  <c r="D74" i="31"/>
  <c r="G70" i="31"/>
  <c r="G69" i="31"/>
  <c r="G68" i="31"/>
  <c r="G67" i="31"/>
  <c r="G66" i="31"/>
  <c r="G65" i="31"/>
  <c r="G61" i="31"/>
  <c r="D60" i="31"/>
  <c r="J50" i="31"/>
  <c r="J49" i="31"/>
  <c r="I49" i="31"/>
  <c r="I48" i="31"/>
  <c r="K47" i="31"/>
  <c r="M47" i="31" s="1"/>
  <c r="J47" i="31"/>
  <c r="L43" i="31"/>
  <c r="J43" i="31"/>
  <c r="H43" i="31"/>
  <c r="M7" i="31" s="1"/>
  <c r="D42" i="31"/>
  <c r="K41" i="31"/>
  <c r="D41" i="31"/>
  <c r="X38" i="31"/>
  <c r="W38" i="31"/>
  <c r="V38" i="31"/>
  <c r="S38" i="31"/>
  <c r="X37" i="31"/>
  <c r="W37" i="31"/>
  <c r="V37" i="31"/>
  <c r="S37" i="31"/>
  <c r="J37" i="31"/>
  <c r="X36" i="31"/>
  <c r="W36" i="31"/>
  <c r="V36" i="31"/>
  <c r="S36" i="31"/>
  <c r="X35" i="31"/>
  <c r="W35" i="31"/>
  <c r="V35" i="31"/>
  <c r="S35" i="31"/>
  <c r="J35" i="31"/>
  <c r="X34" i="31"/>
  <c r="W34" i="31"/>
  <c r="V34" i="31"/>
  <c r="S34" i="31"/>
  <c r="J34" i="31"/>
  <c r="W33" i="31"/>
  <c r="V33" i="31"/>
  <c r="S33" i="31"/>
  <c r="J33" i="31"/>
  <c r="X32" i="31"/>
  <c r="W32" i="31"/>
  <c r="V32" i="31"/>
  <c r="S32" i="31"/>
  <c r="J32" i="31"/>
  <c r="X31" i="31"/>
  <c r="W31" i="31"/>
  <c r="V31" i="31"/>
  <c r="S31" i="31"/>
  <c r="J31" i="31"/>
  <c r="C31" i="31"/>
  <c r="X30" i="31"/>
  <c r="W30" i="31"/>
  <c r="V30" i="31"/>
  <c r="S30" i="31"/>
  <c r="J30" i="31"/>
  <c r="C30" i="31"/>
  <c r="C32" i="31" s="1"/>
  <c r="C33" i="31" s="1"/>
  <c r="C34" i="31" s="1"/>
  <c r="C35" i="31" s="1"/>
  <c r="C36" i="31" s="1"/>
  <c r="X27" i="31"/>
  <c r="W27" i="31"/>
  <c r="V27" i="31"/>
  <c r="S27" i="31"/>
  <c r="X26" i="31"/>
  <c r="W26" i="31"/>
  <c r="V26" i="31"/>
  <c r="U26" i="31"/>
  <c r="J26" i="31"/>
  <c r="X25" i="31"/>
  <c r="W25" i="31"/>
  <c r="V25" i="31"/>
  <c r="U25" i="31"/>
  <c r="J25" i="31"/>
  <c r="X24" i="31"/>
  <c r="W24" i="31"/>
  <c r="V24" i="31"/>
  <c r="J24" i="31"/>
  <c r="C24" i="31"/>
  <c r="X23" i="31"/>
  <c r="W23" i="31"/>
  <c r="V23" i="31"/>
  <c r="U23" i="31"/>
  <c r="S23" i="31"/>
  <c r="J23" i="31"/>
  <c r="C23" i="31"/>
  <c r="X22" i="31"/>
  <c r="W22" i="31"/>
  <c r="V22" i="31"/>
  <c r="U22" i="31"/>
  <c r="S22" i="31"/>
  <c r="J22" i="31"/>
  <c r="C22" i="31"/>
  <c r="X21" i="31"/>
  <c r="W21" i="31"/>
  <c r="V21" i="31"/>
  <c r="S21" i="31"/>
  <c r="J21" i="31"/>
  <c r="C21" i="31"/>
  <c r="D18" i="31"/>
  <c r="D17" i="31"/>
  <c r="D16" i="31"/>
  <c r="D15" i="31"/>
  <c r="M12" i="31"/>
  <c r="M11" i="31"/>
  <c r="J50" i="30"/>
  <c r="I50" i="30" s="1"/>
  <c r="J28" i="30"/>
  <c r="O26" i="8" s="1"/>
  <c r="J39" i="30"/>
  <c r="P26" i="8" s="1"/>
  <c r="C32" i="30"/>
  <c r="C31" i="30"/>
  <c r="C33" i="30" s="1"/>
  <c r="C34" i="30" s="1"/>
  <c r="C36" i="30" s="1"/>
  <c r="X32" i="30"/>
  <c r="W32" i="30"/>
  <c r="V32" i="30"/>
  <c r="S32" i="30"/>
  <c r="J32" i="30"/>
  <c r="K48" i="30"/>
  <c r="M48" i="30" s="1"/>
  <c r="G94" i="30"/>
  <c r="H94" i="30" s="1"/>
  <c r="G93" i="30"/>
  <c r="H93" i="30" s="1"/>
  <c r="G92" i="30"/>
  <c r="D88" i="30"/>
  <c r="G84" i="30"/>
  <c r="G83" i="30"/>
  <c r="G82" i="30"/>
  <c r="G81" i="30"/>
  <c r="G80" i="30"/>
  <c r="G79" i="30"/>
  <c r="G75" i="30"/>
  <c r="D74" i="30"/>
  <c r="G70" i="30"/>
  <c r="G69" i="30"/>
  <c r="G68" i="30"/>
  <c r="G67" i="30"/>
  <c r="G66" i="30"/>
  <c r="G65" i="30"/>
  <c r="G61" i="30"/>
  <c r="D60" i="30"/>
  <c r="K57" i="30"/>
  <c r="J57" i="30"/>
  <c r="I57" i="30"/>
  <c r="K54" i="30"/>
  <c r="M54" i="30" s="1"/>
  <c r="I49" i="30"/>
  <c r="J48" i="30"/>
  <c r="L44" i="30"/>
  <c r="J44" i="30"/>
  <c r="H44" i="30"/>
  <c r="M7" i="30" s="1"/>
  <c r="D43" i="30"/>
  <c r="K42" i="30"/>
  <c r="D42" i="30"/>
  <c r="X39" i="30"/>
  <c r="W39" i="30"/>
  <c r="V39" i="30"/>
  <c r="S39" i="30"/>
  <c r="X38" i="30"/>
  <c r="W38" i="30"/>
  <c r="V38" i="30"/>
  <c r="S38" i="30"/>
  <c r="J38" i="30"/>
  <c r="X37" i="30"/>
  <c r="W37" i="30"/>
  <c r="V37" i="30"/>
  <c r="S37" i="30"/>
  <c r="X36" i="30"/>
  <c r="W36" i="30"/>
  <c r="V36" i="30"/>
  <c r="U36" i="30"/>
  <c r="S36" i="30"/>
  <c r="J36" i="30"/>
  <c r="G76" i="30" s="1"/>
  <c r="H76" i="30" s="1"/>
  <c r="X35" i="30"/>
  <c r="W35" i="30"/>
  <c r="V35" i="30"/>
  <c r="S35" i="30"/>
  <c r="J35" i="30"/>
  <c r="W34" i="30"/>
  <c r="V34" i="30"/>
  <c r="S34" i="30"/>
  <c r="J34" i="30"/>
  <c r="X33" i="30"/>
  <c r="W33" i="30"/>
  <c r="V33" i="30"/>
  <c r="S33" i="30"/>
  <c r="J33" i="30"/>
  <c r="X31" i="30"/>
  <c r="W31" i="30"/>
  <c r="V31" i="30"/>
  <c r="S31" i="30"/>
  <c r="J31" i="30"/>
  <c r="X28" i="30"/>
  <c r="W28" i="30"/>
  <c r="V28" i="30"/>
  <c r="S28" i="30"/>
  <c r="X27" i="30"/>
  <c r="W27" i="30"/>
  <c r="V27" i="30"/>
  <c r="U27" i="30"/>
  <c r="J27" i="30"/>
  <c r="X26" i="30"/>
  <c r="W26" i="30"/>
  <c r="V26" i="30"/>
  <c r="U26" i="30"/>
  <c r="J26" i="30"/>
  <c r="X25" i="30"/>
  <c r="W25" i="30"/>
  <c r="V25" i="30"/>
  <c r="S25" i="30"/>
  <c r="J25" i="30"/>
  <c r="C25" i="30"/>
  <c r="X24" i="30"/>
  <c r="W24" i="30"/>
  <c r="V24" i="30"/>
  <c r="J24" i="30"/>
  <c r="C24" i="30"/>
  <c r="X23" i="30"/>
  <c r="W23" i="30"/>
  <c r="V23" i="30"/>
  <c r="U23" i="30"/>
  <c r="S23" i="30"/>
  <c r="J23" i="30"/>
  <c r="C23" i="30"/>
  <c r="X22" i="30"/>
  <c r="W22" i="30"/>
  <c r="V22" i="30"/>
  <c r="U22" i="30"/>
  <c r="S22" i="30"/>
  <c r="J22" i="30"/>
  <c r="C22" i="30"/>
  <c r="X21" i="30"/>
  <c r="W21" i="30"/>
  <c r="V21" i="30"/>
  <c r="S21" i="30"/>
  <c r="J21" i="30"/>
  <c r="C21" i="30"/>
  <c r="D18" i="30"/>
  <c r="D17" i="30"/>
  <c r="D16" i="30"/>
  <c r="D15" i="30"/>
  <c r="M11" i="30"/>
  <c r="J28" i="29"/>
  <c r="V27" i="29"/>
  <c r="J27" i="29"/>
  <c r="C27" i="29"/>
  <c r="K47" i="29"/>
  <c r="M47" i="29" s="1"/>
  <c r="J38" i="29"/>
  <c r="U37" i="29"/>
  <c r="X37" i="29"/>
  <c r="W37" i="29"/>
  <c r="V37" i="29"/>
  <c r="S37" i="29"/>
  <c r="J37" i="29"/>
  <c r="J36" i="29"/>
  <c r="I48" i="29"/>
  <c r="G92" i="29"/>
  <c r="H92" i="29" s="1"/>
  <c r="G91" i="29"/>
  <c r="H91" i="29" s="1"/>
  <c r="G90" i="29"/>
  <c r="D86" i="29"/>
  <c r="G82" i="29"/>
  <c r="G81" i="29"/>
  <c r="G80" i="29"/>
  <c r="G79" i="29"/>
  <c r="G78" i="29"/>
  <c r="G77" i="29"/>
  <c r="G73" i="29"/>
  <c r="D72" i="29"/>
  <c r="G68" i="29"/>
  <c r="G67" i="29"/>
  <c r="G66" i="29"/>
  <c r="G65" i="29"/>
  <c r="G64" i="29"/>
  <c r="G63" i="29"/>
  <c r="G59" i="29"/>
  <c r="D58" i="29"/>
  <c r="K55" i="29"/>
  <c r="J55" i="29"/>
  <c r="I55" i="29"/>
  <c r="K52" i="29"/>
  <c r="M52" i="29" s="1"/>
  <c r="J47" i="29"/>
  <c r="I47" i="29" s="1"/>
  <c r="L43" i="29"/>
  <c r="J43" i="29"/>
  <c r="H43" i="29"/>
  <c r="M7" i="29" s="1"/>
  <c r="D42" i="29"/>
  <c r="K41" i="29"/>
  <c r="D41" i="29"/>
  <c r="X38" i="29"/>
  <c r="W38" i="29"/>
  <c r="V38" i="29"/>
  <c r="S38" i="29"/>
  <c r="P25" i="8"/>
  <c r="X36" i="29"/>
  <c r="W36" i="29"/>
  <c r="V36" i="29"/>
  <c r="S36" i="29"/>
  <c r="X35" i="29"/>
  <c r="W35" i="29"/>
  <c r="V35" i="29"/>
  <c r="S35" i="29"/>
  <c r="J35" i="29"/>
  <c r="X34" i="29"/>
  <c r="W34" i="29"/>
  <c r="V34" i="29"/>
  <c r="S34" i="29"/>
  <c r="J34" i="29"/>
  <c r="W33" i="29"/>
  <c r="V33" i="29"/>
  <c r="S33" i="29"/>
  <c r="J33" i="29"/>
  <c r="X32" i="29"/>
  <c r="W32" i="29"/>
  <c r="V32" i="29"/>
  <c r="S32" i="29"/>
  <c r="J32" i="29"/>
  <c r="X31" i="29"/>
  <c r="W31" i="29"/>
  <c r="V31" i="29"/>
  <c r="S31" i="29"/>
  <c r="J31" i="29"/>
  <c r="C31" i="29"/>
  <c r="C32" i="29" s="1"/>
  <c r="C33" i="29" s="1"/>
  <c r="C34" i="29" s="1"/>
  <c r="C35" i="29" s="1"/>
  <c r="C36" i="29" s="1"/>
  <c r="C37" i="29" s="1"/>
  <c r="X28" i="29"/>
  <c r="W28" i="29"/>
  <c r="V28" i="29"/>
  <c r="S28" i="29"/>
  <c r="O25" i="8"/>
  <c r="X27" i="29"/>
  <c r="W27" i="29"/>
  <c r="X26" i="29"/>
  <c r="W26" i="29"/>
  <c r="V26" i="29"/>
  <c r="J26" i="29"/>
  <c r="G74" i="29" s="1"/>
  <c r="H74" i="29" s="1"/>
  <c r="C26" i="29"/>
  <c r="X25" i="29"/>
  <c r="W25" i="29"/>
  <c r="V25" i="29"/>
  <c r="S25" i="29"/>
  <c r="J25" i="29"/>
  <c r="C25" i="29"/>
  <c r="X24" i="29"/>
  <c r="W24" i="29"/>
  <c r="V24" i="29"/>
  <c r="J24" i="29"/>
  <c r="C24" i="29"/>
  <c r="X23" i="29"/>
  <c r="W23" i="29"/>
  <c r="V23" i="29"/>
  <c r="U23" i="29"/>
  <c r="S23" i="29"/>
  <c r="J23" i="29"/>
  <c r="C23" i="29"/>
  <c r="X22" i="29"/>
  <c r="W22" i="29"/>
  <c r="V22" i="29"/>
  <c r="S22" i="29"/>
  <c r="J22" i="29"/>
  <c r="C22" i="29"/>
  <c r="X21" i="29"/>
  <c r="W21" i="29"/>
  <c r="V21" i="29"/>
  <c r="S21" i="29"/>
  <c r="J21" i="29"/>
  <c r="C21" i="29"/>
  <c r="D18" i="29"/>
  <c r="D17" i="29"/>
  <c r="D16" i="29"/>
  <c r="D15" i="29"/>
  <c r="M11" i="29"/>
  <c r="J28" i="28"/>
  <c r="O24" i="8" s="1"/>
  <c r="K50" i="28"/>
  <c r="M50" i="28" s="1"/>
  <c r="J26" i="28"/>
  <c r="C26" i="28"/>
  <c r="J37" i="28"/>
  <c r="P24" i="8" s="1"/>
  <c r="J35" i="28"/>
  <c r="J34" i="28"/>
  <c r="J33" i="28"/>
  <c r="J32" i="28"/>
  <c r="J31" i="28"/>
  <c r="I41" i="28" s="1"/>
  <c r="J41" i="28" s="1"/>
  <c r="U36" i="27"/>
  <c r="G90" i="28"/>
  <c r="H90" i="28" s="1"/>
  <c r="G89" i="28"/>
  <c r="H89" i="28" s="1"/>
  <c r="G88" i="28"/>
  <c r="D84" i="28"/>
  <c r="G80" i="28"/>
  <c r="G79" i="28"/>
  <c r="G78" i="28"/>
  <c r="G77" i="28"/>
  <c r="G76" i="28"/>
  <c r="G75" i="28"/>
  <c r="G71" i="28"/>
  <c r="D70" i="28"/>
  <c r="G66" i="28"/>
  <c r="G65" i="28"/>
  <c r="G64" i="28"/>
  <c r="G63" i="28"/>
  <c r="G62" i="28"/>
  <c r="H62" i="28" s="1"/>
  <c r="G61" i="28"/>
  <c r="G57" i="28"/>
  <c r="D56" i="28"/>
  <c r="K53" i="28"/>
  <c r="J53" i="28"/>
  <c r="I53" i="28"/>
  <c r="K46" i="28"/>
  <c r="M46" i="28" s="1"/>
  <c r="J46" i="28"/>
  <c r="J50" i="28" s="1"/>
  <c r="I46" i="28"/>
  <c r="L42" i="28"/>
  <c r="J42" i="28"/>
  <c r="H42" i="28"/>
  <c r="M7" i="28" s="1"/>
  <c r="D41" i="28"/>
  <c r="K40" i="28"/>
  <c r="D40" i="28"/>
  <c r="X37" i="28"/>
  <c r="W37" i="28"/>
  <c r="V37" i="28"/>
  <c r="S37" i="28"/>
  <c r="X36" i="28"/>
  <c r="W36" i="28"/>
  <c r="V36" i="28"/>
  <c r="S36" i="28"/>
  <c r="X35" i="28"/>
  <c r="W35" i="28"/>
  <c r="V35" i="28"/>
  <c r="S35" i="28"/>
  <c r="X34" i="28"/>
  <c r="W34" i="28"/>
  <c r="V34" i="28"/>
  <c r="S34" i="28"/>
  <c r="W33" i="28"/>
  <c r="V33" i="28"/>
  <c r="S33" i="28"/>
  <c r="X32" i="28"/>
  <c r="W32" i="28"/>
  <c r="V32" i="28"/>
  <c r="S32" i="28"/>
  <c r="X31" i="28"/>
  <c r="W31" i="28"/>
  <c r="V31" i="28"/>
  <c r="S31" i="28"/>
  <c r="C31" i="28"/>
  <c r="C32" i="28" s="1"/>
  <c r="C33" i="28" s="1"/>
  <c r="C34" i="28" s="1"/>
  <c r="C35" i="28" s="1"/>
  <c r="C36" i="28" s="1"/>
  <c r="X28" i="28"/>
  <c r="W28" i="28"/>
  <c r="V28" i="28"/>
  <c r="S28" i="28"/>
  <c r="X27" i="28"/>
  <c r="W27" i="28"/>
  <c r="V27" i="28"/>
  <c r="S27" i="28"/>
  <c r="X26" i="28"/>
  <c r="W26" i="28"/>
  <c r="V26" i="28"/>
  <c r="X25" i="28"/>
  <c r="W25" i="28"/>
  <c r="V25" i="28"/>
  <c r="U25" i="28"/>
  <c r="S25" i="28"/>
  <c r="J25" i="28"/>
  <c r="C25" i="28"/>
  <c r="X24" i="28"/>
  <c r="W24" i="28"/>
  <c r="V24" i="28"/>
  <c r="J24" i="28"/>
  <c r="C24" i="28"/>
  <c r="X23" i="28"/>
  <c r="W23" i="28"/>
  <c r="V23" i="28"/>
  <c r="S23" i="28"/>
  <c r="J23" i="28"/>
  <c r="C23" i="28"/>
  <c r="X22" i="28"/>
  <c r="W22" i="28"/>
  <c r="V22" i="28"/>
  <c r="S22" i="28"/>
  <c r="J22" i="28"/>
  <c r="C22" i="28"/>
  <c r="X21" i="28"/>
  <c r="W21" i="28"/>
  <c r="V21" i="28"/>
  <c r="S21" i="28"/>
  <c r="J21" i="28"/>
  <c r="C21" i="28"/>
  <c r="D18" i="28"/>
  <c r="D17" i="28"/>
  <c r="D16" i="28"/>
  <c r="D15" i="28"/>
  <c r="M12" i="28" s="1"/>
  <c r="M11" i="28"/>
  <c r="U35" i="27"/>
  <c r="J37" i="27"/>
  <c r="J36" i="27"/>
  <c r="J35" i="27"/>
  <c r="K50" i="27"/>
  <c r="M50" i="27" s="1"/>
  <c r="X24" i="27"/>
  <c r="W24" i="27"/>
  <c r="V24" i="27"/>
  <c r="J24" i="27"/>
  <c r="C24" i="27"/>
  <c r="G90" i="27"/>
  <c r="H90" i="27" s="1"/>
  <c r="G89" i="27"/>
  <c r="H89" i="27" s="1"/>
  <c r="G88" i="27"/>
  <c r="D84" i="27"/>
  <c r="G80" i="27"/>
  <c r="G79" i="27"/>
  <c r="G78" i="27"/>
  <c r="G77" i="27"/>
  <c r="G76" i="27"/>
  <c r="G75" i="27"/>
  <c r="G71" i="27"/>
  <c r="D70" i="27"/>
  <c r="G66" i="27"/>
  <c r="G65" i="27"/>
  <c r="G64" i="27"/>
  <c r="G63" i="27"/>
  <c r="G62" i="27"/>
  <c r="G61" i="27"/>
  <c r="G57" i="27"/>
  <c r="D56" i="27"/>
  <c r="K53" i="27"/>
  <c r="J53" i="27"/>
  <c r="I53" i="27"/>
  <c r="K46" i="27"/>
  <c r="M46" i="27" s="1"/>
  <c r="J46" i="27"/>
  <c r="J50" i="27" s="1"/>
  <c r="I46" i="27"/>
  <c r="L42" i="27"/>
  <c r="J42" i="27"/>
  <c r="H42" i="27"/>
  <c r="D41" i="27"/>
  <c r="K40" i="27"/>
  <c r="D40" i="27"/>
  <c r="X37" i="27"/>
  <c r="W37" i="27"/>
  <c r="V37" i="27"/>
  <c r="S37" i="27"/>
  <c r="X36" i="27"/>
  <c r="W36" i="27"/>
  <c r="V36" i="27"/>
  <c r="S36" i="27"/>
  <c r="X35" i="27"/>
  <c r="W35" i="27"/>
  <c r="V35" i="27"/>
  <c r="S35" i="27"/>
  <c r="X34" i="27"/>
  <c r="W34" i="27"/>
  <c r="V34" i="27"/>
  <c r="S34" i="27"/>
  <c r="J34" i="27"/>
  <c r="W33" i="27"/>
  <c r="V33" i="27"/>
  <c r="U33" i="27"/>
  <c r="S33" i="27"/>
  <c r="J33" i="27"/>
  <c r="X32" i="27"/>
  <c r="W32" i="27"/>
  <c r="V32" i="27"/>
  <c r="S32" i="27"/>
  <c r="J32" i="27"/>
  <c r="X31" i="27"/>
  <c r="W31" i="27"/>
  <c r="V31" i="27"/>
  <c r="S31" i="27"/>
  <c r="J31" i="27"/>
  <c r="C31" i="27"/>
  <c r="C32" i="27" s="1"/>
  <c r="C33" i="27" s="1"/>
  <c r="C34" i="27" s="1"/>
  <c r="C35" i="27" s="1"/>
  <c r="C36" i="27" s="1"/>
  <c r="X28" i="27"/>
  <c r="W28" i="27"/>
  <c r="V28" i="27"/>
  <c r="S28" i="27"/>
  <c r="J28" i="27"/>
  <c r="O23" i="8" s="1"/>
  <c r="X27" i="27"/>
  <c r="W27" i="27"/>
  <c r="V27" i="27"/>
  <c r="S27" i="27"/>
  <c r="X26" i="27"/>
  <c r="W26" i="27"/>
  <c r="V26" i="27"/>
  <c r="J26" i="27"/>
  <c r="C26" i="27"/>
  <c r="X25" i="27"/>
  <c r="W25" i="27"/>
  <c r="V25" i="27"/>
  <c r="S25" i="27"/>
  <c r="J25" i="27"/>
  <c r="C25" i="27"/>
  <c r="X23" i="27"/>
  <c r="W23" i="27"/>
  <c r="V23" i="27"/>
  <c r="S23" i="27"/>
  <c r="J23" i="27"/>
  <c r="C23" i="27"/>
  <c r="X22" i="27"/>
  <c r="W22" i="27"/>
  <c r="V22" i="27"/>
  <c r="S22" i="27"/>
  <c r="J22" i="27"/>
  <c r="C22" i="27"/>
  <c r="X21" i="27"/>
  <c r="W21" i="27"/>
  <c r="V21" i="27"/>
  <c r="S21" i="27"/>
  <c r="J21" i="27"/>
  <c r="C21" i="27"/>
  <c r="D18" i="27"/>
  <c r="D17" i="27"/>
  <c r="D16" i="27"/>
  <c r="D15" i="27"/>
  <c r="M12" i="27" s="1"/>
  <c r="M11" i="27"/>
  <c r="M7" i="27"/>
  <c r="J31" i="26"/>
  <c r="S31" i="26"/>
  <c r="V31" i="26"/>
  <c r="J32" i="26"/>
  <c r="S32" i="26"/>
  <c r="U32" i="26"/>
  <c r="V32" i="26"/>
  <c r="O22" i="8"/>
  <c r="G89" i="26"/>
  <c r="H89" i="26" s="1"/>
  <c r="G88" i="26"/>
  <c r="H88" i="26" s="1"/>
  <c r="G87" i="26"/>
  <c r="D83" i="26"/>
  <c r="G79" i="26"/>
  <c r="G78" i="26"/>
  <c r="G77" i="26"/>
  <c r="G76" i="26"/>
  <c r="G75" i="26"/>
  <c r="G74" i="26"/>
  <c r="G70" i="26"/>
  <c r="D69" i="26"/>
  <c r="G65" i="26"/>
  <c r="G64" i="26"/>
  <c r="G63" i="26"/>
  <c r="G62" i="26"/>
  <c r="G61" i="26"/>
  <c r="G60" i="26"/>
  <c r="G56" i="26"/>
  <c r="D55" i="26"/>
  <c r="K52" i="26"/>
  <c r="J52" i="26"/>
  <c r="I52" i="26" s="1"/>
  <c r="K49" i="26"/>
  <c r="M49" i="26" s="1"/>
  <c r="K45" i="26"/>
  <c r="J45" i="26"/>
  <c r="J49" i="26" s="1"/>
  <c r="L41" i="26"/>
  <c r="J41" i="26"/>
  <c r="H41" i="26"/>
  <c r="M7" i="26" s="1"/>
  <c r="D40" i="26"/>
  <c r="K39" i="26"/>
  <c r="D39" i="26"/>
  <c r="X36" i="26"/>
  <c r="W36" i="26"/>
  <c r="V36" i="26"/>
  <c r="S36" i="26"/>
  <c r="X35" i="26"/>
  <c r="W35" i="26"/>
  <c r="V35" i="26"/>
  <c r="S35" i="26"/>
  <c r="X34" i="26"/>
  <c r="W34" i="26"/>
  <c r="V34" i="26"/>
  <c r="S34" i="26"/>
  <c r="X33" i="26"/>
  <c r="W33" i="26"/>
  <c r="V33" i="26"/>
  <c r="S33" i="26"/>
  <c r="J33" i="26"/>
  <c r="W32" i="26"/>
  <c r="X31" i="26"/>
  <c r="W31" i="26"/>
  <c r="X30" i="26"/>
  <c r="W30" i="26"/>
  <c r="V30" i="26"/>
  <c r="S30" i="26"/>
  <c r="J30" i="26"/>
  <c r="C30" i="26"/>
  <c r="C31" i="26" s="1"/>
  <c r="C32" i="26" s="1"/>
  <c r="C33" i="26" s="1"/>
  <c r="X27" i="26"/>
  <c r="W27" i="26"/>
  <c r="V27" i="26"/>
  <c r="S27" i="26"/>
  <c r="J27" i="26"/>
  <c r="X26" i="26"/>
  <c r="W26" i="26"/>
  <c r="V26" i="26"/>
  <c r="S26" i="26"/>
  <c r="X25" i="26"/>
  <c r="W25" i="26"/>
  <c r="V25" i="26"/>
  <c r="J25" i="26"/>
  <c r="C25" i="26"/>
  <c r="X24" i="26"/>
  <c r="W24" i="26"/>
  <c r="V24" i="26"/>
  <c r="S24" i="26"/>
  <c r="J24" i="26"/>
  <c r="C24" i="26"/>
  <c r="X23" i="26"/>
  <c r="W23" i="26"/>
  <c r="V23" i="26"/>
  <c r="S23" i="26"/>
  <c r="J23" i="26"/>
  <c r="C23" i="26"/>
  <c r="X22" i="26"/>
  <c r="W22" i="26"/>
  <c r="V22" i="26"/>
  <c r="S22" i="26"/>
  <c r="J22" i="26"/>
  <c r="G71" i="26" s="1"/>
  <c r="H71" i="26" s="1"/>
  <c r="C22" i="26"/>
  <c r="X21" i="26"/>
  <c r="W21" i="26"/>
  <c r="V21" i="26"/>
  <c r="S21" i="26"/>
  <c r="J21" i="26"/>
  <c r="G40" i="26" s="1"/>
  <c r="C21" i="26"/>
  <c r="D18" i="26"/>
  <c r="D17" i="26"/>
  <c r="D16" i="26"/>
  <c r="D15" i="26"/>
  <c r="M12" i="26" s="1"/>
  <c r="M11" i="26"/>
  <c r="J27" i="25"/>
  <c r="O21" i="8" s="1"/>
  <c r="J26" i="25"/>
  <c r="G89" i="25"/>
  <c r="H89" i="25" s="1"/>
  <c r="G88" i="25"/>
  <c r="H88" i="25" s="1"/>
  <c r="G87" i="25"/>
  <c r="D83" i="25"/>
  <c r="G79" i="25"/>
  <c r="G78" i="25"/>
  <c r="G77" i="25"/>
  <c r="G76" i="25"/>
  <c r="G75" i="25"/>
  <c r="G74" i="25"/>
  <c r="G70" i="25"/>
  <c r="D69" i="25"/>
  <c r="G65" i="25"/>
  <c r="G64" i="25"/>
  <c r="G63" i="25"/>
  <c r="G62" i="25"/>
  <c r="G61" i="25"/>
  <c r="G60" i="25"/>
  <c r="G56" i="25"/>
  <c r="D55" i="25"/>
  <c r="K52" i="25"/>
  <c r="J52" i="25"/>
  <c r="I52" i="25"/>
  <c r="K49" i="25"/>
  <c r="M49" i="25" s="1"/>
  <c r="K45" i="25"/>
  <c r="M45" i="25" s="1"/>
  <c r="J45" i="25"/>
  <c r="J49" i="25" s="1"/>
  <c r="I49" i="25" s="1"/>
  <c r="I45" i="25"/>
  <c r="J41" i="25"/>
  <c r="D40" i="25"/>
  <c r="K39" i="25"/>
  <c r="D39" i="25"/>
  <c r="X36" i="25"/>
  <c r="W36" i="25"/>
  <c r="V36" i="25"/>
  <c r="S36" i="25"/>
  <c r="X35" i="25"/>
  <c r="W35" i="25"/>
  <c r="V35" i="25"/>
  <c r="S35" i="25"/>
  <c r="X34" i="25"/>
  <c r="W34" i="25"/>
  <c r="V34" i="25"/>
  <c r="S34" i="25"/>
  <c r="X33" i="25"/>
  <c r="W33" i="25"/>
  <c r="V33" i="25"/>
  <c r="S33" i="25"/>
  <c r="J33" i="25"/>
  <c r="W32" i="25"/>
  <c r="V32" i="25"/>
  <c r="S32" i="25"/>
  <c r="J32" i="25"/>
  <c r="X31" i="25"/>
  <c r="W31" i="25"/>
  <c r="V31" i="25"/>
  <c r="S31" i="25"/>
  <c r="J31" i="25"/>
  <c r="X30" i="25"/>
  <c r="W30" i="25"/>
  <c r="V30" i="25"/>
  <c r="S30" i="25"/>
  <c r="J30" i="25"/>
  <c r="J36" i="25" s="1"/>
  <c r="P21" i="8" s="1"/>
  <c r="C30" i="25"/>
  <c r="C31" i="25" s="1"/>
  <c r="C32" i="25" s="1"/>
  <c r="C33" i="25" s="1"/>
  <c r="X27" i="25"/>
  <c r="W27" i="25"/>
  <c r="V27" i="25"/>
  <c r="S27" i="25"/>
  <c r="X26" i="25"/>
  <c r="W26" i="25"/>
  <c r="V26" i="25"/>
  <c r="S26" i="25"/>
  <c r="X25" i="25"/>
  <c r="W25" i="25"/>
  <c r="V25" i="25"/>
  <c r="S25" i="25"/>
  <c r="J25" i="25"/>
  <c r="C25" i="25"/>
  <c r="X24" i="25"/>
  <c r="W24" i="25"/>
  <c r="V24" i="25"/>
  <c r="S24" i="25"/>
  <c r="J24" i="25"/>
  <c r="C24" i="25"/>
  <c r="X23" i="25"/>
  <c r="W23" i="25"/>
  <c r="V23" i="25"/>
  <c r="S23" i="25"/>
  <c r="J23" i="25"/>
  <c r="C23" i="25"/>
  <c r="X22" i="25"/>
  <c r="W22" i="25"/>
  <c r="V22" i="25"/>
  <c r="S22" i="25"/>
  <c r="J22" i="25"/>
  <c r="G57" i="25" s="1"/>
  <c r="H57" i="25" s="1"/>
  <c r="C22" i="25"/>
  <c r="X21" i="25"/>
  <c r="W21" i="25"/>
  <c r="V21" i="25"/>
  <c r="S21" i="25"/>
  <c r="J21" i="25"/>
  <c r="C21" i="25"/>
  <c r="D18" i="25"/>
  <c r="D17" i="25"/>
  <c r="D16" i="25"/>
  <c r="D15" i="25"/>
  <c r="M12" i="25"/>
  <c r="M11" i="25"/>
  <c r="U23" i="4"/>
  <c r="U2" i="4"/>
  <c r="K52" i="24"/>
  <c r="I52" i="24" s="1"/>
  <c r="K24" i="24"/>
  <c r="C25" i="24"/>
  <c r="J32" i="24"/>
  <c r="J31" i="24"/>
  <c r="N23" i="24"/>
  <c r="J26" i="24"/>
  <c r="O20" i="8" s="1"/>
  <c r="C21" i="24"/>
  <c r="G89" i="24"/>
  <c r="H89" i="24" s="1"/>
  <c r="G88" i="24"/>
  <c r="H88" i="24" s="1"/>
  <c r="G87" i="24"/>
  <c r="D83" i="24"/>
  <c r="G79" i="24"/>
  <c r="G78" i="24"/>
  <c r="G77" i="24"/>
  <c r="G76" i="24"/>
  <c r="G75" i="24"/>
  <c r="G74" i="24"/>
  <c r="G70" i="24"/>
  <c r="D69" i="24"/>
  <c r="G65" i="24"/>
  <c r="G64" i="24"/>
  <c r="G63" i="24"/>
  <c r="G62" i="24"/>
  <c r="G61" i="24"/>
  <c r="G60" i="24"/>
  <c r="G56" i="24"/>
  <c r="D55" i="24"/>
  <c r="J52" i="24"/>
  <c r="K49" i="24"/>
  <c r="M49" i="24" s="1"/>
  <c r="K45" i="24"/>
  <c r="M45" i="24" s="1"/>
  <c r="J45" i="24"/>
  <c r="J49" i="24" s="1"/>
  <c r="I49" i="24" s="1"/>
  <c r="J41" i="24"/>
  <c r="D40" i="24"/>
  <c r="K39" i="24"/>
  <c r="D39" i="24"/>
  <c r="X36" i="24"/>
  <c r="W36" i="24"/>
  <c r="V36" i="24"/>
  <c r="S36" i="24"/>
  <c r="X35" i="24"/>
  <c r="W35" i="24"/>
  <c r="V35" i="24"/>
  <c r="S35" i="24"/>
  <c r="X34" i="24"/>
  <c r="W34" i="24"/>
  <c r="V34" i="24"/>
  <c r="S34" i="24"/>
  <c r="X33" i="24"/>
  <c r="W33" i="24"/>
  <c r="V33" i="24"/>
  <c r="U33" i="24"/>
  <c r="S33" i="24"/>
  <c r="J33" i="24"/>
  <c r="W32" i="24"/>
  <c r="V32" i="24"/>
  <c r="S32" i="24"/>
  <c r="X31" i="24"/>
  <c r="W31" i="24"/>
  <c r="V31" i="24"/>
  <c r="S31" i="24"/>
  <c r="X30" i="24"/>
  <c r="W30" i="24"/>
  <c r="V30" i="24"/>
  <c r="S30" i="24"/>
  <c r="J30" i="24"/>
  <c r="C30" i="24"/>
  <c r="C31" i="24" s="1"/>
  <c r="C32" i="24" s="1"/>
  <c r="C33" i="24" s="1"/>
  <c r="X27" i="24"/>
  <c r="W27" i="24"/>
  <c r="V27" i="24"/>
  <c r="S27" i="24"/>
  <c r="X26" i="24"/>
  <c r="W26" i="24"/>
  <c r="V26" i="24"/>
  <c r="S26" i="24"/>
  <c r="X25" i="24"/>
  <c r="W25" i="24"/>
  <c r="V25" i="24"/>
  <c r="S25" i="24"/>
  <c r="J25" i="24"/>
  <c r="X24" i="24"/>
  <c r="W24" i="24"/>
  <c r="V24" i="24"/>
  <c r="U24" i="24"/>
  <c r="S24" i="24"/>
  <c r="J24" i="24"/>
  <c r="C24" i="24"/>
  <c r="X23" i="24"/>
  <c r="W23" i="24"/>
  <c r="V23" i="24"/>
  <c r="S23" i="24"/>
  <c r="J23" i="24"/>
  <c r="C23" i="24"/>
  <c r="X22" i="24"/>
  <c r="W22" i="24"/>
  <c r="V22" i="24"/>
  <c r="S22" i="24"/>
  <c r="J22" i="24"/>
  <c r="G57" i="24" s="1"/>
  <c r="H57" i="24" s="1"/>
  <c r="C22" i="24"/>
  <c r="X21" i="24"/>
  <c r="W21" i="24"/>
  <c r="V21" i="24"/>
  <c r="S21" i="24"/>
  <c r="J21" i="24"/>
  <c r="D18" i="24"/>
  <c r="D17" i="24"/>
  <c r="D16" i="24"/>
  <c r="D15" i="24"/>
  <c r="M12" i="24" s="1"/>
  <c r="M11" i="24"/>
  <c r="K52" i="23"/>
  <c r="J26" i="23"/>
  <c r="O19" i="8" s="1"/>
  <c r="C24" i="23"/>
  <c r="J21" i="23"/>
  <c r="G89" i="23"/>
  <c r="H89" i="23" s="1"/>
  <c r="G88" i="23"/>
  <c r="H88" i="23" s="1"/>
  <c r="G87" i="23"/>
  <c r="D83" i="23"/>
  <c r="G79" i="23"/>
  <c r="G78" i="23"/>
  <c r="G77" i="23"/>
  <c r="G76" i="23"/>
  <c r="G75" i="23"/>
  <c r="G74" i="23"/>
  <c r="G70" i="23"/>
  <c r="D69" i="23"/>
  <c r="G65" i="23"/>
  <c r="G64" i="23"/>
  <c r="G63" i="23"/>
  <c r="G62" i="23"/>
  <c r="G61" i="23"/>
  <c r="G60" i="23"/>
  <c r="G56" i="23"/>
  <c r="D55" i="23"/>
  <c r="J52" i="23"/>
  <c r="I52" i="23"/>
  <c r="K49" i="23"/>
  <c r="M49" i="23" s="1"/>
  <c r="K45" i="23"/>
  <c r="M45" i="23" s="1"/>
  <c r="J45" i="23"/>
  <c r="J49" i="23" s="1"/>
  <c r="I49" i="23" s="1"/>
  <c r="J41" i="23"/>
  <c r="D40" i="23"/>
  <c r="K39" i="23"/>
  <c r="D39" i="23"/>
  <c r="X36" i="23"/>
  <c r="W36" i="23"/>
  <c r="V36" i="23"/>
  <c r="S36" i="23"/>
  <c r="X35" i="23"/>
  <c r="W35" i="23"/>
  <c r="V35" i="23"/>
  <c r="S35" i="23"/>
  <c r="X34" i="23"/>
  <c r="W34" i="23"/>
  <c r="V34" i="23"/>
  <c r="S34" i="23"/>
  <c r="X33" i="23"/>
  <c r="W33" i="23"/>
  <c r="V33" i="23"/>
  <c r="S33" i="23"/>
  <c r="J33" i="23"/>
  <c r="W32" i="23"/>
  <c r="V32" i="23"/>
  <c r="S32" i="23"/>
  <c r="J32" i="23"/>
  <c r="X31" i="23"/>
  <c r="W31" i="23"/>
  <c r="V31" i="23"/>
  <c r="S31" i="23"/>
  <c r="J31" i="23"/>
  <c r="X30" i="23"/>
  <c r="W30" i="23"/>
  <c r="V30" i="23"/>
  <c r="S30" i="23"/>
  <c r="J30" i="23"/>
  <c r="C30" i="23"/>
  <c r="C31" i="23" s="1"/>
  <c r="C32" i="23" s="1"/>
  <c r="C33" i="23" s="1"/>
  <c r="X27" i="23"/>
  <c r="W27" i="23"/>
  <c r="V27" i="23"/>
  <c r="S27" i="23"/>
  <c r="X26" i="23"/>
  <c r="W26" i="23"/>
  <c r="V26" i="23"/>
  <c r="S26" i="23"/>
  <c r="X25" i="23"/>
  <c r="W25" i="23"/>
  <c r="V25" i="23"/>
  <c r="S25" i="23"/>
  <c r="J25" i="23"/>
  <c r="X24" i="23"/>
  <c r="W24" i="23"/>
  <c r="V24" i="23"/>
  <c r="S24" i="23"/>
  <c r="J24" i="23"/>
  <c r="X23" i="23"/>
  <c r="W23" i="23"/>
  <c r="V23" i="23"/>
  <c r="S23" i="23"/>
  <c r="J23" i="23"/>
  <c r="C23" i="23"/>
  <c r="X22" i="23"/>
  <c r="W22" i="23"/>
  <c r="V22" i="23"/>
  <c r="S22" i="23"/>
  <c r="J22" i="23"/>
  <c r="C22" i="23"/>
  <c r="X21" i="23"/>
  <c r="W21" i="23"/>
  <c r="V21" i="23"/>
  <c r="S21" i="23"/>
  <c r="D18" i="23"/>
  <c r="D17" i="23"/>
  <c r="D16" i="23"/>
  <c r="D15" i="23"/>
  <c r="M12" i="23" s="1"/>
  <c r="M11" i="23"/>
  <c r="X35" i="22"/>
  <c r="W35" i="22"/>
  <c r="V35" i="22"/>
  <c r="S35" i="22"/>
  <c r="J35" i="22"/>
  <c r="J38" i="22" s="1"/>
  <c r="V33" i="22"/>
  <c r="C23" i="22"/>
  <c r="C22" i="22"/>
  <c r="X22" i="22"/>
  <c r="W22" i="22"/>
  <c r="V22" i="22"/>
  <c r="S22" i="22"/>
  <c r="J22" i="22"/>
  <c r="J26" i="22"/>
  <c r="S26" i="22"/>
  <c r="J27" i="22"/>
  <c r="J28" i="22"/>
  <c r="N21" i="22"/>
  <c r="K21" i="22"/>
  <c r="V21" i="22" s="1"/>
  <c r="G91" i="22"/>
  <c r="H91" i="22" s="1"/>
  <c r="G90" i="22"/>
  <c r="H90" i="22" s="1"/>
  <c r="G89" i="22"/>
  <c r="D85" i="22"/>
  <c r="G81" i="22"/>
  <c r="G80" i="22"/>
  <c r="G79" i="22"/>
  <c r="G78" i="22"/>
  <c r="G77" i="22"/>
  <c r="G76" i="22"/>
  <c r="G72" i="22"/>
  <c r="D71" i="22"/>
  <c r="G67" i="22"/>
  <c r="G66" i="22"/>
  <c r="G65" i="22"/>
  <c r="G64" i="22"/>
  <c r="G63" i="22"/>
  <c r="G62" i="22"/>
  <c r="G58" i="22"/>
  <c r="D57" i="22"/>
  <c r="K54" i="22"/>
  <c r="J54" i="22"/>
  <c r="K51" i="22"/>
  <c r="M51" i="22" s="1"/>
  <c r="K47" i="22"/>
  <c r="M47" i="22" s="1"/>
  <c r="J47" i="22"/>
  <c r="D42" i="22"/>
  <c r="K41" i="22"/>
  <c r="D41" i="22"/>
  <c r="X38" i="22"/>
  <c r="W38" i="22"/>
  <c r="V38" i="22"/>
  <c r="S38" i="22"/>
  <c r="X37" i="22"/>
  <c r="W37" i="22"/>
  <c r="V37" i="22"/>
  <c r="S37" i="22"/>
  <c r="X36" i="22"/>
  <c r="W36" i="22"/>
  <c r="V36" i="22"/>
  <c r="S36" i="22"/>
  <c r="X34" i="22"/>
  <c r="W34" i="22"/>
  <c r="V34" i="22"/>
  <c r="U34" i="22"/>
  <c r="S34" i="22"/>
  <c r="J34" i="22"/>
  <c r="X33" i="22"/>
  <c r="W33" i="22"/>
  <c r="S33" i="22"/>
  <c r="J33" i="22"/>
  <c r="X32" i="22"/>
  <c r="W32" i="22"/>
  <c r="V32" i="22"/>
  <c r="S32" i="22"/>
  <c r="J32" i="22"/>
  <c r="C32" i="22"/>
  <c r="C33" i="22" s="1"/>
  <c r="C34" i="22" s="1"/>
  <c r="C35" i="22" s="1"/>
  <c r="X29" i="22"/>
  <c r="W29" i="22"/>
  <c r="V29" i="22"/>
  <c r="S29" i="22"/>
  <c r="X27" i="22"/>
  <c r="W27" i="22"/>
  <c r="X26" i="22"/>
  <c r="W26" i="22"/>
  <c r="V26" i="22"/>
  <c r="X25" i="22"/>
  <c r="W25" i="22"/>
  <c r="V25" i="22"/>
  <c r="U25" i="22"/>
  <c r="S25" i="22"/>
  <c r="J25" i="22"/>
  <c r="X24" i="22"/>
  <c r="W24" i="22"/>
  <c r="V24" i="22"/>
  <c r="U24" i="22"/>
  <c r="S24" i="22"/>
  <c r="J24" i="22"/>
  <c r="X23" i="22"/>
  <c r="W23" i="22"/>
  <c r="V23" i="22"/>
  <c r="S23" i="22"/>
  <c r="J23" i="22"/>
  <c r="X21" i="22"/>
  <c r="W21" i="22"/>
  <c r="S21" i="22"/>
  <c r="J21" i="22"/>
  <c r="C21" i="22"/>
  <c r="D18" i="22"/>
  <c r="D17" i="22"/>
  <c r="D16" i="22"/>
  <c r="D15" i="22"/>
  <c r="M11" i="22"/>
  <c r="N34" i="21"/>
  <c r="J34" i="21"/>
  <c r="J33" i="21"/>
  <c r="J27" i="21"/>
  <c r="W26" i="21"/>
  <c r="X26" i="21"/>
  <c r="J26" i="21"/>
  <c r="N25" i="21"/>
  <c r="J25" i="21"/>
  <c r="G90" i="21"/>
  <c r="H90" i="21" s="1"/>
  <c r="G89" i="21"/>
  <c r="H89" i="21" s="1"/>
  <c r="G88" i="21"/>
  <c r="D84" i="21"/>
  <c r="G80" i="21"/>
  <c r="G79" i="21"/>
  <c r="G78" i="21"/>
  <c r="G77" i="21"/>
  <c r="G76" i="21"/>
  <c r="G75" i="21"/>
  <c r="G71" i="21"/>
  <c r="D70" i="21"/>
  <c r="G66" i="21"/>
  <c r="G65" i="21"/>
  <c r="G64" i="21"/>
  <c r="G63" i="21"/>
  <c r="G62" i="21"/>
  <c r="G61" i="21"/>
  <c r="G57" i="21"/>
  <c r="D56" i="21"/>
  <c r="K53" i="21"/>
  <c r="J53" i="21"/>
  <c r="I53" i="21" s="1"/>
  <c r="K50" i="21"/>
  <c r="M50" i="21" s="1"/>
  <c r="K46" i="21"/>
  <c r="M46" i="21" s="1"/>
  <c r="J46" i="21"/>
  <c r="L42" i="21"/>
  <c r="J42" i="21"/>
  <c r="H42" i="21"/>
  <c r="M7" i="21" s="1"/>
  <c r="D41" i="21"/>
  <c r="K40" i="21"/>
  <c r="D40" i="21"/>
  <c r="X37" i="21"/>
  <c r="W37" i="21"/>
  <c r="V37" i="21"/>
  <c r="S37" i="21"/>
  <c r="X36" i="21"/>
  <c r="W36" i="21"/>
  <c r="V36" i="21"/>
  <c r="S36" i="21"/>
  <c r="X35" i="21"/>
  <c r="W35" i="21"/>
  <c r="V35" i="21"/>
  <c r="S35" i="21"/>
  <c r="X34" i="21"/>
  <c r="W34" i="21"/>
  <c r="V34" i="21"/>
  <c r="S34" i="21"/>
  <c r="X33" i="21"/>
  <c r="W33" i="21"/>
  <c r="V33" i="21"/>
  <c r="S33" i="21"/>
  <c r="X32" i="21"/>
  <c r="W32" i="21"/>
  <c r="V32" i="21"/>
  <c r="S32" i="21"/>
  <c r="J32" i="21"/>
  <c r="X31" i="21"/>
  <c r="W31" i="21"/>
  <c r="V31" i="21"/>
  <c r="S31" i="21"/>
  <c r="J31" i="21"/>
  <c r="C31" i="21"/>
  <c r="C32" i="21" s="1"/>
  <c r="C33" i="21" s="1"/>
  <c r="C34" i="21" s="1"/>
  <c r="X28" i="21"/>
  <c r="W28" i="21"/>
  <c r="V28" i="21"/>
  <c r="S28" i="21"/>
  <c r="X25" i="21"/>
  <c r="W25" i="21"/>
  <c r="V25" i="21"/>
  <c r="S25" i="21"/>
  <c r="X23" i="21"/>
  <c r="W23" i="21"/>
  <c r="V23" i="21"/>
  <c r="S23" i="21"/>
  <c r="J23" i="21"/>
  <c r="X24" i="21"/>
  <c r="W24" i="21"/>
  <c r="V24" i="21"/>
  <c r="S24" i="21"/>
  <c r="J24" i="21"/>
  <c r="X22" i="21"/>
  <c r="W22" i="21"/>
  <c r="V22" i="21"/>
  <c r="U22" i="21"/>
  <c r="S22" i="21"/>
  <c r="J22" i="21"/>
  <c r="X21" i="21"/>
  <c r="W21" i="21"/>
  <c r="V21" i="21"/>
  <c r="S21" i="21"/>
  <c r="J21" i="21"/>
  <c r="J28" i="21" s="1"/>
  <c r="O17" i="8" s="1"/>
  <c r="C21" i="21"/>
  <c r="C22" i="21" s="1"/>
  <c r="C24" i="21" s="1"/>
  <c r="D18" i="21"/>
  <c r="D17" i="21"/>
  <c r="D16" i="21"/>
  <c r="D15" i="21"/>
  <c r="M11" i="21"/>
  <c r="K45" i="20"/>
  <c r="G84" i="20"/>
  <c r="H84" i="20" s="1"/>
  <c r="G83" i="20"/>
  <c r="H83" i="20" s="1"/>
  <c r="G82" i="20"/>
  <c r="D78" i="20"/>
  <c r="G74" i="20"/>
  <c r="G73" i="20"/>
  <c r="G72" i="20"/>
  <c r="G71" i="20"/>
  <c r="G70" i="20"/>
  <c r="G69" i="20"/>
  <c r="G65" i="20"/>
  <c r="D64" i="20"/>
  <c r="G60" i="20"/>
  <c r="G59" i="20"/>
  <c r="G58" i="20"/>
  <c r="G57" i="20"/>
  <c r="G56" i="20"/>
  <c r="G55" i="20"/>
  <c r="G51" i="20"/>
  <c r="D50" i="20"/>
  <c r="K47" i="20"/>
  <c r="J47" i="20"/>
  <c r="I47" i="20"/>
  <c r="K46" i="20"/>
  <c r="M46" i="20" s="1"/>
  <c r="J45" i="20"/>
  <c r="J46" i="20" s="1"/>
  <c r="I46" i="20" s="1"/>
  <c r="L40" i="20"/>
  <c r="J40" i="20"/>
  <c r="H40" i="20"/>
  <c r="M7" i="20" s="1"/>
  <c r="D39" i="20"/>
  <c r="K38" i="20"/>
  <c r="D38" i="20"/>
  <c r="X35" i="20"/>
  <c r="W35" i="20"/>
  <c r="V35" i="20"/>
  <c r="S35" i="20"/>
  <c r="X34" i="20"/>
  <c r="W34" i="20"/>
  <c r="V34" i="20"/>
  <c r="S34" i="20"/>
  <c r="X33" i="20"/>
  <c r="W33" i="20"/>
  <c r="V33" i="20"/>
  <c r="U33" i="20"/>
  <c r="S33" i="20"/>
  <c r="X32" i="20"/>
  <c r="W32" i="20"/>
  <c r="V32" i="20"/>
  <c r="U32" i="20"/>
  <c r="S32" i="20"/>
  <c r="X31" i="20"/>
  <c r="W31" i="20"/>
  <c r="V31" i="20"/>
  <c r="U31" i="20"/>
  <c r="S31" i="20"/>
  <c r="X30" i="20"/>
  <c r="W30" i="20"/>
  <c r="V30" i="20"/>
  <c r="S30" i="20"/>
  <c r="J30" i="20"/>
  <c r="X29" i="20"/>
  <c r="W29" i="20"/>
  <c r="V29" i="20"/>
  <c r="S29" i="20"/>
  <c r="J29" i="20"/>
  <c r="C29" i="20"/>
  <c r="C30" i="20" s="1"/>
  <c r="C31" i="20" s="1"/>
  <c r="C32" i="20" s="1"/>
  <c r="X26" i="20"/>
  <c r="W26" i="20"/>
  <c r="V26" i="20"/>
  <c r="S26" i="20"/>
  <c r="X25" i="20"/>
  <c r="W25" i="20"/>
  <c r="V25" i="20"/>
  <c r="U25" i="20"/>
  <c r="S25" i="20"/>
  <c r="X24" i="20"/>
  <c r="W24" i="20"/>
  <c r="V24" i="20"/>
  <c r="U24" i="20"/>
  <c r="S24" i="20"/>
  <c r="J24" i="20"/>
  <c r="X23" i="20"/>
  <c r="W23" i="20"/>
  <c r="V23" i="20"/>
  <c r="U23" i="20"/>
  <c r="S23" i="20"/>
  <c r="J23" i="20"/>
  <c r="X22" i="20"/>
  <c r="W22" i="20"/>
  <c r="V22" i="20"/>
  <c r="S22" i="20"/>
  <c r="J22" i="20"/>
  <c r="X21" i="20"/>
  <c r="W21" i="20"/>
  <c r="V21" i="20"/>
  <c r="S21" i="20"/>
  <c r="U21" i="20"/>
  <c r="J21" i="20"/>
  <c r="C21" i="20"/>
  <c r="C22" i="20" s="1"/>
  <c r="C23" i="20" s="1"/>
  <c r="C24" i="20" s="1"/>
  <c r="D18" i="20"/>
  <c r="D17" i="20"/>
  <c r="D16" i="20"/>
  <c r="D15" i="20"/>
  <c r="M12" i="20"/>
  <c r="M11" i="20"/>
  <c r="K44" i="17"/>
  <c r="M44" i="17" s="1"/>
  <c r="K45" i="19"/>
  <c r="M45" i="19" s="1"/>
  <c r="N21" i="19"/>
  <c r="S29" i="19"/>
  <c r="G84" i="19"/>
  <c r="H84" i="19" s="1"/>
  <c r="G83" i="19"/>
  <c r="H83" i="19" s="1"/>
  <c r="G82" i="19"/>
  <c r="D78" i="19"/>
  <c r="G74" i="19"/>
  <c r="G73" i="19"/>
  <c r="G72" i="19"/>
  <c r="G71" i="19"/>
  <c r="G70" i="19"/>
  <c r="G69" i="19"/>
  <c r="G65" i="19"/>
  <c r="D64" i="19"/>
  <c r="G60" i="19"/>
  <c r="G59" i="19"/>
  <c r="G58" i="19"/>
  <c r="G57" i="19"/>
  <c r="G56" i="19"/>
  <c r="G55" i="19"/>
  <c r="G51" i="19"/>
  <c r="D50" i="19"/>
  <c r="K47" i="19"/>
  <c r="J47" i="19"/>
  <c r="I47" i="19"/>
  <c r="K46" i="19"/>
  <c r="M46" i="19" s="1"/>
  <c r="J45" i="19"/>
  <c r="J40" i="19"/>
  <c r="D39" i="19"/>
  <c r="K38" i="19"/>
  <c r="D38" i="19"/>
  <c r="X35" i="19"/>
  <c r="W35" i="19"/>
  <c r="V35" i="19"/>
  <c r="S35" i="19"/>
  <c r="X34" i="19"/>
  <c r="W34" i="19"/>
  <c r="V34" i="19"/>
  <c r="S34" i="19"/>
  <c r="X33" i="19"/>
  <c r="W33" i="19"/>
  <c r="V33" i="19"/>
  <c r="S33" i="19"/>
  <c r="J33" i="19"/>
  <c r="X32" i="19"/>
  <c r="W32" i="19"/>
  <c r="V32" i="19"/>
  <c r="S32" i="19"/>
  <c r="J32" i="19"/>
  <c r="X31" i="19"/>
  <c r="W31" i="19"/>
  <c r="V31" i="19"/>
  <c r="S31" i="19"/>
  <c r="J31" i="19"/>
  <c r="X30" i="19"/>
  <c r="W30" i="19"/>
  <c r="V30" i="19"/>
  <c r="S30" i="19"/>
  <c r="J30" i="19"/>
  <c r="X29" i="19"/>
  <c r="W29" i="19"/>
  <c r="V29" i="19"/>
  <c r="J29" i="19"/>
  <c r="C29" i="19"/>
  <c r="C30" i="19" s="1"/>
  <c r="C31" i="19" s="1"/>
  <c r="C32" i="19" s="1"/>
  <c r="X26" i="19"/>
  <c r="W26" i="19"/>
  <c r="V26" i="19"/>
  <c r="S26" i="19"/>
  <c r="X25" i="19"/>
  <c r="W25" i="19"/>
  <c r="V25" i="19"/>
  <c r="U25" i="19"/>
  <c r="S25" i="19"/>
  <c r="X24" i="19"/>
  <c r="W24" i="19"/>
  <c r="V24" i="19"/>
  <c r="S24" i="19"/>
  <c r="J24" i="19"/>
  <c r="X23" i="19"/>
  <c r="W23" i="19"/>
  <c r="V23" i="19"/>
  <c r="S23" i="19"/>
  <c r="J23" i="19"/>
  <c r="G52" i="19" s="1"/>
  <c r="H52" i="19" s="1"/>
  <c r="X22" i="19"/>
  <c r="W22" i="19"/>
  <c r="V22" i="19"/>
  <c r="S22" i="19"/>
  <c r="J22" i="19"/>
  <c r="X21" i="19"/>
  <c r="W21" i="19"/>
  <c r="V21" i="19"/>
  <c r="S21" i="19"/>
  <c r="J21" i="19"/>
  <c r="C21" i="19"/>
  <c r="C22" i="19" s="1"/>
  <c r="C23" i="19" s="1"/>
  <c r="C24" i="19" s="1"/>
  <c r="D18" i="19"/>
  <c r="D17" i="19"/>
  <c r="D16" i="19"/>
  <c r="D15" i="19"/>
  <c r="M12" i="19"/>
  <c r="M11" i="19"/>
  <c r="K45" i="18"/>
  <c r="M45" i="18" s="1"/>
  <c r="N24" i="18"/>
  <c r="H40" i="18" s="1"/>
  <c r="M7" i="18" s="1"/>
  <c r="X34" i="18"/>
  <c r="W34" i="18"/>
  <c r="V34" i="18"/>
  <c r="S34" i="18"/>
  <c r="G84" i="18"/>
  <c r="H84" i="18" s="1"/>
  <c r="G83" i="18"/>
  <c r="H83" i="18" s="1"/>
  <c r="G82" i="18"/>
  <c r="D78" i="18"/>
  <c r="G74" i="18"/>
  <c r="G73" i="18"/>
  <c r="G72" i="18"/>
  <c r="G71" i="18"/>
  <c r="G70" i="18"/>
  <c r="G69" i="18"/>
  <c r="G65" i="18"/>
  <c r="D64" i="18"/>
  <c r="G60" i="18"/>
  <c r="G59" i="18"/>
  <c r="G58" i="18"/>
  <c r="G57" i="18"/>
  <c r="G56" i="18"/>
  <c r="G55" i="18"/>
  <c r="G51" i="18"/>
  <c r="D50" i="18"/>
  <c r="K47" i="18"/>
  <c r="J47" i="18"/>
  <c r="I47" i="18"/>
  <c r="K46" i="18"/>
  <c r="M46" i="18" s="1"/>
  <c r="J45" i="18"/>
  <c r="D39" i="18"/>
  <c r="K38" i="18"/>
  <c r="D38" i="18"/>
  <c r="X35" i="18"/>
  <c r="W35" i="18"/>
  <c r="V35" i="18"/>
  <c r="S35" i="18"/>
  <c r="X33" i="18"/>
  <c r="W33" i="18"/>
  <c r="V33" i="18"/>
  <c r="S33" i="18"/>
  <c r="J33" i="18"/>
  <c r="X32" i="18"/>
  <c r="W32" i="18"/>
  <c r="V32" i="18"/>
  <c r="U32" i="18"/>
  <c r="S32" i="18"/>
  <c r="J32" i="18"/>
  <c r="X31" i="18"/>
  <c r="W31" i="18"/>
  <c r="V31" i="18"/>
  <c r="S31" i="18"/>
  <c r="J31" i="18"/>
  <c r="X30" i="18"/>
  <c r="W30" i="18"/>
  <c r="V30" i="18"/>
  <c r="S30" i="18"/>
  <c r="J30" i="18"/>
  <c r="X29" i="18"/>
  <c r="W29" i="18"/>
  <c r="V29" i="18"/>
  <c r="S29" i="18"/>
  <c r="J29" i="18"/>
  <c r="C29" i="18"/>
  <c r="C30" i="18" s="1"/>
  <c r="C31" i="18" s="1"/>
  <c r="C32" i="18" s="1"/>
  <c r="X26" i="18"/>
  <c r="W26" i="18"/>
  <c r="V26" i="18"/>
  <c r="S26" i="18"/>
  <c r="X25" i="18"/>
  <c r="W25" i="18"/>
  <c r="V25" i="18"/>
  <c r="U25" i="18"/>
  <c r="S25" i="18"/>
  <c r="X24" i="18"/>
  <c r="W24" i="18"/>
  <c r="V24" i="18"/>
  <c r="S24" i="18"/>
  <c r="J24" i="18"/>
  <c r="X23" i="18"/>
  <c r="W23" i="18"/>
  <c r="V23" i="18"/>
  <c r="S23" i="18"/>
  <c r="J23" i="18"/>
  <c r="X22" i="18"/>
  <c r="W22" i="18"/>
  <c r="V22" i="18"/>
  <c r="S22" i="18"/>
  <c r="J22" i="18"/>
  <c r="X21" i="18"/>
  <c r="W21" i="18"/>
  <c r="V21" i="18"/>
  <c r="S21" i="18"/>
  <c r="J21" i="18"/>
  <c r="C21" i="18"/>
  <c r="C22" i="18" s="1"/>
  <c r="C23" i="18" s="1"/>
  <c r="C24" i="18" s="1"/>
  <c r="D18" i="18"/>
  <c r="D17" i="18"/>
  <c r="D16" i="18"/>
  <c r="D15" i="18"/>
  <c r="M12" i="18" s="1"/>
  <c r="M11" i="18"/>
  <c r="K45" i="17"/>
  <c r="M45" i="17" s="1"/>
  <c r="C21" i="17"/>
  <c r="C22" i="17" s="1"/>
  <c r="C23" i="17" s="1"/>
  <c r="C24" i="17" s="1"/>
  <c r="C21" i="14"/>
  <c r="C22" i="14" s="1"/>
  <c r="C23" i="14" s="1"/>
  <c r="C24" i="14" s="1"/>
  <c r="C25" i="14" s="1"/>
  <c r="N31" i="17"/>
  <c r="U32" i="17"/>
  <c r="G83" i="17"/>
  <c r="H83" i="17" s="1"/>
  <c r="G82" i="17"/>
  <c r="H82" i="17" s="1"/>
  <c r="G81" i="17"/>
  <c r="D77" i="17"/>
  <c r="G73" i="17"/>
  <c r="G72" i="17"/>
  <c r="G71" i="17"/>
  <c r="G70" i="17"/>
  <c r="G69" i="17"/>
  <c r="G68" i="17"/>
  <c r="G64" i="17"/>
  <c r="D63" i="17"/>
  <c r="G59" i="17"/>
  <c r="G58" i="17"/>
  <c r="G57" i="17"/>
  <c r="G56" i="17"/>
  <c r="G55" i="17"/>
  <c r="G54" i="17"/>
  <c r="G50" i="17"/>
  <c r="D49" i="17"/>
  <c r="K46" i="17"/>
  <c r="J46" i="17"/>
  <c r="I46" i="17"/>
  <c r="J44" i="17"/>
  <c r="J45" i="17" s="1"/>
  <c r="I45" i="17" s="1"/>
  <c r="L39" i="17"/>
  <c r="J39" i="17"/>
  <c r="H39" i="17"/>
  <c r="D38" i="17"/>
  <c r="K37" i="17"/>
  <c r="D37" i="17"/>
  <c r="X34" i="17"/>
  <c r="W34" i="17"/>
  <c r="V34" i="17"/>
  <c r="S34" i="17"/>
  <c r="X33" i="17"/>
  <c r="W33" i="17"/>
  <c r="V33" i="17"/>
  <c r="S33" i="17"/>
  <c r="J33" i="17"/>
  <c r="X32" i="17"/>
  <c r="W32" i="17"/>
  <c r="V32" i="17"/>
  <c r="S32" i="17"/>
  <c r="J32" i="17"/>
  <c r="X31" i="17"/>
  <c r="W31" i="17"/>
  <c r="V31" i="17"/>
  <c r="S31" i="17"/>
  <c r="J31" i="17"/>
  <c r="G51" i="17" s="1"/>
  <c r="H51" i="17" s="1"/>
  <c r="X30" i="17"/>
  <c r="W30" i="17"/>
  <c r="V30" i="17"/>
  <c r="S30" i="17"/>
  <c r="J30" i="17"/>
  <c r="X29" i="17"/>
  <c r="W29" i="17"/>
  <c r="V29" i="17"/>
  <c r="S29" i="17"/>
  <c r="J29" i="17"/>
  <c r="C29" i="17"/>
  <c r="C30" i="17" s="1"/>
  <c r="C31" i="17" s="1"/>
  <c r="C32" i="17" s="1"/>
  <c r="C33" i="17" s="1"/>
  <c r="C34" i="17" s="1"/>
  <c r="X26" i="17"/>
  <c r="W26" i="17"/>
  <c r="V26" i="17"/>
  <c r="S26" i="17"/>
  <c r="X25" i="17"/>
  <c r="W25" i="17"/>
  <c r="V25" i="17"/>
  <c r="U25" i="17"/>
  <c r="S25" i="17"/>
  <c r="X24" i="17"/>
  <c r="W24" i="17"/>
  <c r="V24" i="17"/>
  <c r="U24" i="17"/>
  <c r="S24" i="17"/>
  <c r="J24" i="17"/>
  <c r="X23" i="17"/>
  <c r="W23" i="17"/>
  <c r="V23" i="17"/>
  <c r="U23" i="17"/>
  <c r="S23" i="17"/>
  <c r="J23" i="17"/>
  <c r="X22" i="17"/>
  <c r="W22" i="17"/>
  <c r="V22" i="17"/>
  <c r="S22" i="17"/>
  <c r="J22" i="17"/>
  <c r="X21" i="17"/>
  <c r="W21" i="17"/>
  <c r="V21" i="17"/>
  <c r="S21" i="17"/>
  <c r="J21" i="17"/>
  <c r="G65" i="17" s="1"/>
  <c r="H65" i="17" s="1"/>
  <c r="D18" i="17"/>
  <c r="D17" i="17"/>
  <c r="D16" i="17"/>
  <c r="D15" i="17"/>
  <c r="M12" i="17"/>
  <c r="M11" i="17"/>
  <c r="M7" i="17"/>
  <c r="U24" i="16"/>
  <c r="K46" i="16"/>
  <c r="K45" i="16"/>
  <c r="M45" i="16" s="1"/>
  <c r="K46" i="15"/>
  <c r="I46" i="15" s="1"/>
  <c r="K45" i="15"/>
  <c r="M45" i="15" s="1"/>
  <c r="J31" i="16"/>
  <c r="K30" i="16"/>
  <c r="G83" i="16"/>
  <c r="H83" i="16" s="1"/>
  <c r="G82" i="16"/>
  <c r="H82" i="16" s="1"/>
  <c r="G81" i="16"/>
  <c r="D77" i="16"/>
  <c r="G73" i="16"/>
  <c r="G72" i="16"/>
  <c r="G71" i="16"/>
  <c r="G70" i="16"/>
  <c r="G69" i="16"/>
  <c r="G68" i="16"/>
  <c r="G64" i="16"/>
  <c r="D63" i="16"/>
  <c r="G59" i="16"/>
  <c r="G58" i="16"/>
  <c r="G57" i="16"/>
  <c r="G56" i="16"/>
  <c r="G55" i="16"/>
  <c r="G54" i="16"/>
  <c r="G50" i="16"/>
  <c r="D49" i="16"/>
  <c r="J46" i="16"/>
  <c r="K44" i="16"/>
  <c r="M44" i="16" s="1"/>
  <c r="J44" i="16"/>
  <c r="L39" i="16"/>
  <c r="J39" i="16"/>
  <c r="H39" i="16"/>
  <c r="M7" i="16" s="1"/>
  <c r="D38" i="16"/>
  <c r="K37" i="16"/>
  <c r="D37" i="16"/>
  <c r="X34" i="16"/>
  <c r="W34" i="16"/>
  <c r="V34" i="16"/>
  <c r="S34" i="16"/>
  <c r="X33" i="16"/>
  <c r="W33" i="16"/>
  <c r="V33" i="16"/>
  <c r="S33" i="16"/>
  <c r="J33" i="16"/>
  <c r="X32" i="16"/>
  <c r="W32" i="16"/>
  <c r="V32" i="16"/>
  <c r="S32" i="16"/>
  <c r="J32" i="16"/>
  <c r="X31" i="16"/>
  <c r="W31" i="16"/>
  <c r="V31" i="16"/>
  <c r="S31" i="16"/>
  <c r="X30" i="16"/>
  <c r="W30" i="16"/>
  <c r="V30" i="16"/>
  <c r="S30" i="16"/>
  <c r="J30" i="16"/>
  <c r="X29" i="16"/>
  <c r="W29" i="16"/>
  <c r="V29" i="16"/>
  <c r="S29" i="16"/>
  <c r="J29" i="16"/>
  <c r="C29" i="16"/>
  <c r="C30" i="16" s="1"/>
  <c r="C31" i="16" s="1"/>
  <c r="C32" i="16" s="1"/>
  <c r="C33" i="16" s="1"/>
  <c r="C34" i="16" s="1"/>
  <c r="X26" i="16"/>
  <c r="W26" i="16"/>
  <c r="V26" i="16"/>
  <c r="S26" i="16"/>
  <c r="X25" i="16"/>
  <c r="W25" i="16"/>
  <c r="V25" i="16"/>
  <c r="U25" i="16"/>
  <c r="S25" i="16"/>
  <c r="X24" i="16"/>
  <c r="W24" i="16"/>
  <c r="V24" i="16"/>
  <c r="S24" i="16"/>
  <c r="J24" i="16"/>
  <c r="X23" i="16"/>
  <c r="W23" i="16"/>
  <c r="V23" i="16"/>
  <c r="S23" i="16"/>
  <c r="J23" i="16"/>
  <c r="X22" i="16"/>
  <c r="W22" i="16"/>
  <c r="V22" i="16"/>
  <c r="S22" i="16"/>
  <c r="J22" i="16"/>
  <c r="C22" i="16"/>
  <c r="C23" i="16" s="1"/>
  <c r="C24" i="16" s="1"/>
  <c r="X21" i="16"/>
  <c r="W21" i="16"/>
  <c r="V21" i="16"/>
  <c r="S21" i="16"/>
  <c r="J21" i="16"/>
  <c r="D18" i="16"/>
  <c r="D17" i="16"/>
  <c r="D16" i="16"/>
  <c r="D15" i="16"/>
  <c r="M12" i="16" s="1"/>
  <c r="M11" i="16"/>
  <c r="J24" i="15"/>
  <c r="G83" i="15"/>
  <c r="H83" i="15" s="1"/>
  <c r="G82" i="15"/>
  <c r="H82" i="15" s="1"/>
  <c r="G81" i="15"/>
  <c r="D77" i="15"/>
  <c r="G73" i="15"/>
  <c r="G72" i="15"/>
  <c r="G71" i="15"/>
  <c r="G70" i="15"/>
  <c r="G69" i="15"/>
  <c r="G68" i="15"/>
  <c r="G64" i="15"/>
  <c r="D63" i="15"/>
  <c r="G59" i="15"/>
  <c r="G58" i="15"/>
  <c r="G57" i="15"/>
  <c r="G56" i="15"/>
  <c r="G55" i="15"/>
  <c r="G54" i="15"/>
  <c r="G50" i="15"/>
  <c r="D49" i="15"/>
  <c r="J46" i="15"/>
  <c r="K44" i="15"/>
  <c r="M44" i="15" s="1"/>
  <c r="J44" i="15"/>
  <c r="J45" i="15" s="1"/>
  <c r="L39" i="15"/>
  <c r="J39" i="15"/>
  <c r="H39" i="15"/>
  <c r="M7" i="15" s="1"/>
  <c r="D38" i="15"/>
  <c r="K37" i="15"/>
  <c r="D37" i="15"/>
  <c r="X34" i="15"/>
  <c r="W34" i="15"/>
  <c r="V34" i="15"/>
  <c r="S34" i="15"/>
  <c r="X33" i="15"/>
  <c r="W33" i="15"/>
  <c r="V33" i="15"/>
  <c r="S33" i="15"/>
  <c r="J33" i="15"/>
  <c r="X32" i="15"/>
  <c r="W32" i="15"/>
  <c r="V32" i="15"/>
  <c r="S32" i="15"/>
  <c r="J32" i="15"/>
  <c r="X31" i="15"/>
  <c r="W31" i="15"/>
  <c r="V31" i="15"/>
  <c r="S31" i="15"/>
  <c r="J31" i="15"/>
  <c r="X30" i="15"/>
  <c r="W30" i="15"/>
  <c r="V30" i="15"/>
  <c r="S30" i="15"/>
  <c r="J30" i="15"/>
  <c r="X29" i="15"/>
  <c r="W29" i="15"/>
  <c r="V29" i="15"/>
  <c r="S29" i="15"/>
  <c r="J29" i="15"/>
  <c r="C29" i="15"/>
  <c r="C30" i="15" s="1"/>
  <c r="C31" i="15" s="1"/>
  <c r="C32" i="15" s="1"/>
  <c r="C33" i="15" s="1"/>
  <c r="C34" i="15" s="1"/>
  <c r="X26" i="15"/>
  <c r="W26" i="15"/>
  <c r="V26" i="15"/>
  <c r="S26" i="15"/>
  <c r="X25" i="15"/>
  <c r="W25" i="15"/>
  <c r="V25" i="15"/>
  <c r="U25" i="15"/>
  <c r="S25" i="15"/>
  <c r="X24" i="15"/>
  <c r="W24" i="15"/>
  <c r="V24" i="15"/>
  <c r="S24" i="15"/>
  <c r="X23" i="15"/>
  <c r="W23" i="15"/>
  <c r="V23" i="15"/>
  <c r="S23" i="15"/>
  <c r="J23" i="15"/>
  <c r="G51" i="15" s="1"/>
  <c r="H51" i="15" s="1"/>
  <c r="X22" i="15"/>
  <c r="W22" i="15"/>
  <c r="V22" i="15"/>
  <c r="S22" i="15"/>
  <c r="J22" i="15"/>
  <c r="X21" i="15"/>
  <c r="W21" i="15"/>
  <c r="V21" i="15"/>
  <c r="U21" i="15"/>
  <c r="S21" i="15"/>
  <c r="J21" i="15"/>
  <c r="C22" i="15"/>
  <c r="C23" i="15" s="1"/>
  <c r="C24" i="15" s="1"/>
  <c r="D18" i="15"/>
  <c r="D17" i="15"/>
  <c r="D16" i="15"/>
  <c r="D15" i="15"/>
  <c r="M12" i="15" s="1"/>
  <c r="M11" i="15"/>
  <c r="J26" i="13"/>
  <c r="K45" i="13"/>
  <c r="M45" i="13" s="1"/>
  <c r="K23" i="14"/>
  <c r="J32" i="14"/>
  <c r="J31" i="14"/>
  <c r="K46" i="13"/>
  <c r="J46" i="13"/>
  <c r="G82" i="14"/>
  <c r="H82" i="14" s="1"/>
  <c r="G81" i="14"/>
  <c r="H81" i="14" s="1"/>
  <c r="G80" i="14"/>
  <c r="D76" i="14"/>
  <c r="G72" i="14"/>
  <c r="G71" i="14"/>
  <c r="G70" i="14"/>
  <c r="G69" i="14"/>
  <c r="G68" i="14"/>
  <c r="G67" i="14"/>
  <c r="G63" i="14"/>
  <c r="D62" i="14"/>
  <c r="G58" i="14"/>
  <c r="G57" i="14"/>
  <c r="G56" i="14"/>
  <c r="G55" i="14"/>
  <c r="G54" i="14"/>
  <c r="G53" i="14"/>
  <c r="G49" i="14"/>
  <c r="D48" i="14"/>
  <c r="K45" i="14"/>
  <c r="M45" i="14" s="1"/>
  <c r="K44" i="14"/>
  <c r="M44" i="14" s="1"/>
  <c r="J44" i="14"/>
  <c r="L39" i="14"/>
  <c r="J39" i="14"/>
  <c r="H39" i="14"/>
  <c r="M7" i="14" s="1"/>
  <c r="D38" i="14"/>
  <c r="K37" i="14"/>
  <c r="D37" i="14"/>
  <c r="X34" i="14"/>
  <c r="W34" i="14"/>
  <c r="V34" i="14"/>
  <c r="S34" i="14"/>
  <c r="X33" i="14"/>
  <c r="W33" i="14"/>
  <c r="V33" i="14"/>
  <c r="S33" i="14"/>
  <c r="J33" i="14"/>
  <c r="X32" i="14"/>
  <c r="W32" i="14"/>
  <c r="V32" i="14"/>
  <c r="S32" i="14"/>
  <c r="X31" i="14"/>
  <c r="W31" i="14"/>
  <c r="V31" i="14"/>
  <c r="U31" i="14"/>
  <c r="S31" i="14"/>
  <c r="X30" i="14"/>
  <c r="W30" i="14"/>
  <c r="V30" i="14"/>
  <c r="S30" i="14"/>
  <c r="J30" i="14"/>
  <c r="X29" i="14"/>
  <c r="W29" i="14"/>
  <c r="V29" i="14"/>
  <c r="S29" i="14"/>
  <c r="J29" i="14"/>
  <c r="C29" i="14"/>
  <c r="C30" i="14" s="1"/>
  <c r="C31" i="14" s="1"/>
  <c r="C32" i="14" s="1"/>
  <c r="C33" i="14" s="1"/>
  <c r="C34" i="14" s="1"/>
  <c r="X26" i="14"/>
  <c r="W26" i="14"/>
  <c r="V26" i="14"/>
  <c r="S26" i="14"/>
  <c r="X25" i="14"/>
  <c r="W25" i="14"/>
  <c r="V25" i="14"/>
  <c r="U25" i="14"/>
  <c r="S25" i="14"/>
  <c r="X24" i="14"/>
  <c r="W24" i="14"/>
  <c r="V24" i="14"/>
  <c r="U24" i="14"/>
  <c r="S24" i="14"/>
  <c r="X23" i="14"/>
  <c r="W23" i="14"/>
  <c r="V23" i="14"/>
  <c r="U23" i="14"/>
  <c r="S23" i="14"/>
  <c r="J23" i="14"/>
  <c r="G50" i="14" s="1"/>
  <c r="H50" i="14" s="1"/>
  <c r="X22" i="14"/>
  <c r="W22" i="14"/>
  <c r="V22" i="14"/>
  <c r="S22" i="14"/>
  <c r="J22" i="14"/>
  <c r="X21" i="14"/>
  <c r="W21" i="14"/>
  <c r="V21" i="14"/>
  <c r="S21" i="14"/>
  <c r="J21" i="14"/>
  <c r="D18" i="14"/>
  <c r="D17" i="14"/>
  <c r="D16" i="14"/>
  <c r="D15" i="14"/>
  <c r="M12" i="14" s="1"/>
  <c r="M11" i="14"/>
  <c r="K44" i="13"/>
  <c r="M44" i="13" s="1"/>
  <c r="K29" i="13"/>
  <c r="K23" i="13"/>
  <c r="G83" i="13"/>
  <c r="H83" i="13" s="1"/>
  <c r="G82" i="13"/>
  <c r="H82" i="13" s="1"/>
  <c r="G81" i="13"/>
  <c r="D77" i="13"/>
  <c r="G73" i="13"/>
  <c r="G72" i="13"/>
  <c r="G71" i="13"/>
  <c r="G70" i="13"/>
  <c r="G69" i="13"/>
  <c r="G68" i="13"/>
  <c r="G64" i="13"/>
  <c r="D63" i="13"/>
  <c r="G59" i="13"/>
  <c r="G58" i="13"/>
  <c r="G57" i="13"/>
  <c r="G56" i="13"/>
  <c r="G55" i="13"/>
  <c r="G54" i="13"/>
  <c r="G50" i="13"/>
  <c r="D49" i="13"/>
  <c r="J44" i="13"/>
  <c r="J45" i="13" s="1"/>
  <c r="L39" i="13"/>
  <c r="J39" i="13"/>
  <c r="H39" i="13"/>
  <c r="M7" i="13" s="1"/>
  <c r="D38" i="13"/>
  <c r="K37" i="13"/>
  <c r="D37" i="13"/>
  <c r="X34" i="13"/>
  <c r="W34" i="13"/>
  <c r="V34" i="13"/>
  <c r="S34" i="13"/>
  <c r="X33" i="13"/>
  <c r="W33" i="13"/>
  <c r="V33" i="13"/>
  <c r="S33" i="13"/>
  <c r="J33" i="13"/>
  <c r="X32" i="13"/>
  <c r="W32" i="13"/>
  <c r="V32" i="13"/>
  <c r="S32" i="13"/>
  <c r="J32" i="13"/>
  <c r="X31" i="13"/>
  <c r="W31" i="13"/>
  <c r="V31" i="13"/>
  <c r="S31" i="13"/>
  <c r="J31" i="13"/>
  <c r="X30" i="13"/>
  <c r="W30" i="13"/>
  <c r="V30" i="13"/>
  <c r="S30" i="13"/>
  <c r="J30" i="13"/>
  <c r="X29" i="13"/>
  <c r="W29" i="13"/>
  <c r="V29" i="13"/>
  <c r="S29" i="13"/>
  <c r="J29" i="13"/>
  <c r="C29" i="13"/>
  <c r="C30" i="13" s="1"/>
  <c r="C31" i="13" s="1"/>
  <c r="C32" i="13" s="1"/>
  <c r="C33" i="13" s="1"/>
  <c r="C34" i="13" s="1"/>
  <c r="X26" i="13"/>
  <c r="W26" i="13"/>
  <c r="V26" i="13"/>
  <c r="S26" i="13"/>
  <c r="X25" i="13"/>
  <c r="W25" i="13"/>
  <c r="V25" i="13"/>
  <c r="U25" i="13"/>
  <c r="S25" i="13"/>
  <c r="X24" i="13"/>
  <c r="W24" i="13"/>
  <c r="V24" i="13"/>
  <c r="U24" i="13"/>
  <c r="S24" i="13"/>
  <c r="X23" i="13"/>
  <c r="W23" i="13"/>
  <c r="V23" i="13"/>
  <c r="S23" i="13"/>
  <c r="J23" i="13"/>
  <c r="G51" i="13" s="1"/>
  <c r="H51" i="13" s="1"/>
  <c r="X22" i="13"/>
  <c r="W22" i="13"/>
  <c r="V22" i="13"/>
  <c r="U22" i="13"/>
  <c r="S22" i="13"/>
  <c r="J22" i="13"/>
  <c r="X21" i="13"/>
  <c r="W21" i="13"/>
  <c r="V21" i="13"/>
  <c r="U21" i="13"/>
  <c r="S21" i="13"/>
  <c r="J21" i="13"/>
  <c r="C21" i="13"/>
  <c r="C22" i="13" s="1"/>
  <c r="C23" i="13" s="1"/>
  <c r="C24" i="13" s="1"/>
  <c r="D18" i="13"/>
  <c r="D17" i="13"/>
  <c r="D16" i="13"/>
  <c r="D15" i="13"/>
  <c r="M12" i="13"/>
  <c r="M11" i="13"/>
  <c r="J26" i="11"/>
  <c r="O7" i="8" s="1"/>
  <c r="K22" i="12"/>
  <c r="G82" i="12"/>
  <c r="H82" i="12" s="1"/>
  <c r="G81" i="12"/>
  <c r="H81" i="12" s="1"/>
  <c r="G80" i="12"/>
  <c r="D76" i="12"/>
  <c r="G72" i="12"/>
  <c r="G71" i="12"/>
  <c r="G70" i="12"/>
  <c r="G69" i="12"/>
  <c r="G68" i="12"/>
  <c r="G67" i="12"/>
  <c r="G63" i="12"/>
  <c r="D62" i="12"/>
  <c r="G58" i="12"/>
  <c r="G57" i="12"/>
  <c r="G56" i="12"/>
  <c r="G55" i="12"/>
  <c r="G54" i="12"/>
  <c r="G53" i="12"/>
  <c r="G49" i="12"/>
  <c r="D48" i="12"/>
  <c r="K44" i="12"/>
  <c r="M44" i="12" s="1"/>
  <c r="J44" i="12"/>
  <c r="J45" i="12" s="1"/>
  <c r="I44" i="12"/>
  <c r="L39" i="12"/>
  <c r="J39" i="12"/>
  <c r="H39" i="12"/>
  <c r="M7" i="12" s="1"/>
  <c r="D38" i="12"/>
  <c r="K37" i="12"/>
  <c r="D37" i="12"/>
  <c r="X34" i="12"/>
  <c r="W34" i="12"/>
  <c r="V34" i="12"/>
  <c r="S34" i="12"/>
  <c r="X33" i="12"/>
  <c r="W33" i="12"/>
  <c r="V33" i="12"/>
  <c r="S33" i="12"/>
  <c r="J33" i="12"/>
  <c r="X32" i="12"/>
  <c r="W32" i="12"/>
  <c r="V32" i="12"/>
  <c r="S32" i="12"/>
  <c r="J32" i="12"/>
  <c r="X31" i="12"/>
  <c r="W31" i="12"/>
  <c r="V31" i="12"/>
  <c r="S31" i="12"/>
  <c r="J31" i="12"/>
  <c r="J34" i="12" s="1"/>
  <c r="P8" i="8" s="1"/>
  <c r="X30" i="12"/>
  <c r="W30" i="12"/>
  <c r="V30" i="12"/>
  <c r="S30" i="12"/>
  <c r="J30" i="12"/>
  <c r="X29" i="12"/>
  <c r="W29" i="12"/>
  <c r="V29" i="12"/>
  <c r="S29" i="12"/>
  <c r="J29" i="12"/>
  <c r="C29" i="12"/>
  <c r="C30" i="12" s="1"/>
  <c r="C31" i="12" s="1"/>
  <c r="C32" i="12" s="1"/>
  <c r="C33" i="12" s="1"/>
  <c r="C34" i="12" s="1"/>
  <c r="X26" i="12"/>
  <c r="W26" i="12"/>
  <c r="V26" i="12"/>
  <c r="S26" i="12"/>
  <c r="X25" i="12"/>
  <c r="W25" i="12"/>
  <c r="V25" i="12"/>
  <c r="S25" i="12"/>
  <c r="J25" i="12"/>
  <c r="X24" i="12"/>
  <c r="W24" i="12"/>
  <c r="V24" i="12"/>
  <c r="U24" i="12"/>
  <c r="S24" i="12"/>
  <c r="J24" i="12"/>
  <c r="X23" i="12"/>
  <c r="W23" i="12"/>
  <c r="V23" i="12"/>
  <c r="S23" i="12"/>
  <c r="J23" i="12"/>
  <c r="X22" i="12"/>
  <c r="W22" i="12"/>
  <c r="V22" i="12"/>
  <c r="S22" i="12"/>
  <c r="J22" i="12"/>
  <c r="X21" i="12"/>
  <c r="W21" i="12"/>
  <c r="V21" i="12"/>
  <c r="S21" i="12"/>
  <c r="J21" i="12"/>
  <c r="J26" i="12" s="1"/>
  <c r="O8" i="8" s="1"/>
  <c r="C21" i="12"/>
  <c r="C22" i="12" s="1"/>
  <c r="C23" i="12" s="1"/>
  <c r="C24" i="12" s="1"/>
  <c r="C25" i="12" s="1"/>
  <c r="D18" i="12"/>
  <c r="D17" i="12"/>
  <c r="D16" i="12"/>
  <c r="D15" i="12"/>
  <c r="M11" i="12"/>
  <c r="J44" i="11"/>
  <c r="K44" i="11"/>
  <c r="M44" i="11" s="1"/>
  <c r="J29" i="11"/>
  <c r="C29" i="11"/>
  <c r="C30" i="11" s="1"/>
  <c r="C31" i="11" s="1"/>
  <c r="C32" i="11" s="1"/>
  <c r="C33" i="11" s="1"/>
  <c r="C34" i="11" s="1"/>
  <c r="S29" i="11"/>
  <c r="V29" i="11"/>
  <c r="W29" i="11"/>
  <c r="X29" i="11"/>
  <c r="J25" i="11"/>
  <c r="J24" i="11"/>
  <c r="J23" i="11"/>
  <c r="J22" i="11"/>
  <c r="J21" i="11"/>
  <c r="X34" i="11"/>
  <c r="W34" i="11"/>
  <c r="V34" i="11"/>
  <c r="S34" i="11"/>
  <c r="Q64" i="8"/>
  <c r="Q63" i="8"/>
  <c r="Q62" i="8"/>
  <c r="Q61" i="8"/>
  <c r="Q60" i="8"/>
  <c r="Q59" i="8"/>
  <c r="Q56" i="8"/>
  <c r="Q55" i="8"/>
  <c r="Q54" i="8"/>
  <c r="Q53" i="8"/>
  <c r="Q52" i="8"/>
  <c r="Q51" i="8"/>
  <c r="Q50" i="8"/>
  <c r="Q49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L39" i="11"/>
  <c r="K37" i="11"/>
  <c r="J39" i="11"/>
  <c r="H39" i="11"/>
  <c r="M7" i="11" s="1"/>
  <c r="J33" i="11"/>
  <c r="J32" i="11"/>
  <c r="J31" i="11"/>
  <c r="J30" i="11"/>
  <c r="J34" i="11" s="1"/>
  <c r="P7" i="8" s="1"/>
  <c r="G82" i="11"/>
  <c r="H82" i="11" s="1"/>
  <c r="G81" i="11"/>
  <c r="H81" i="11" s="1"/>
  <c r="D76" i="11"/>
  <c r="G72" i="11"/>
  <c r="G71" i="11"/>
  <c r="G70" i="11"/>
  <c r="G69" i="11"/>
  <c r="G68" i="11"/>
  <c r="G67" i="11"/>
  <c r="G64" i="11"/>
  <c r="H64" i="11" s="1"/>
  <c r="G63" i="11"/>
  <c r="D62" i="11"/>
  <c r="G58" i="11"/>
  <c r="G57" i="11"/>
  <c r="G56" i="11"/>
  <c r="G55" i="11"/>
  <c r="G54" i="11"/>
  <c r="G49" i="11"/>
  <c r="D48" i="11"/>
  <c r="D38" i="11"/>
  <c r="D37" i="11"/>
  <c r="X33" i="11"/>
  <c r="W33" i="11"/>
  <c r="V33" i="11"/>
  <c r="U33" i="11"/>
  <c r="S33" i="11"/>
  <c r="X32" i="11"/>
  <c r="W32" i="11"/>
  <c r="U32" i="11"/>
  <c r="S32" i="11"/>
  <c r="V32" i="11"/>
  <c r="X31" i="11"/>
  <c r="W31" i="11"/>
  <c r="V31" i="11"/>
  <c r="U31" i="11"/>
  <c r="S31" i="11"/>
  <c r="X30" i="11"/>
  <c r="G80" i="11" s="1"/>
  <c r="W30" i="11"/>
  <c r="V30" i="11"/>
  <c r="S30" i="11"/>
  <c r="X26" i="11"/>
  <c r="W26" i="11"/>
  <c r="V26" i="11"/>
  <c r="S26" i="11"/>
  <c r="X25" i="11"/>
  <c r="W25" i="11"/>
  <c r="V25" i="11"/>
  <c r="S25" i="11"/>
  <c r="X24" i="11"/>
  <c r="W24" i="11"/>
  <c r="V24" i="11"/>
  <c r="S24" i="11"/>
  <c r="X23" i="11"/>
  <c r="W23" i="11"/>
  <c r="V23" i="11"/>
  <c r="S23" i="11"/>
  <c r="X22" i="11"/>
  <c r="W22" i="11"/>
  <c r="V22" i="11"/>
  <c r="S22" i="11"/>
  <c r="G50" i="11"/>
  <c r="H50" i="11" s="1"/>
  <c r="X21" i="11"/>
  <c r="W21" i="11"/>
  <c r="V21" i="11"/>
  <c r="S21" i="11"/>
  <c r="C21" i="11"/>
  <c r="C22" i="11" s="1"/>
  <c r="C23" i="11" s="1"/>
  <c r="C24" i="11" s="1"/>
  <c r="C25" i="11" s="1"/>
  <c r="D18" i="11"/>
  <c r="D17" i="11"/>
  <c r="D16" i="11"/>
  <c r="D15" i="11"/>
  <c r="M11" i="11"/>
  <c r="U33" i="9"/>
  <c r="J64" i="8"/>
  <c r="J63" i="8"/>
  <c r="J62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5" i="8"/>
  <c r="J4" i="8"/>
  <c r="J3" i="8"/>
  <c r="U33" i="10"/>
  <c r="U32" i="10"/>
  <c r="U31" i="10"/>
  <c r="U30" i="10"/>
  <c r="U26" i="10"/>
  <c r="U25" i="10"/>
  <c r="U24" i="10"/>
  <c r="U23" i="10"/>
  <c r="K29" i="10"/>
  <c r="G80" i="10"/>
  <c r="H80" i="10" s="1"/>
  <c r="G79" i="10"/>
  <c r="H79" i="10" s="1"/>
  <c r="D74" i="10"/>
  <c r="G70" i="10"/>
  <c r="G69" i="10"/>
  <c r="G68" i="10"/>
  <c r="G67" i="10"/>
  <c r="G66" i="10"/>
  <c r="G62" i="10"/>
  <c r="H62" i="10" s="1"/>
  <c r="G61" i="10"/>
  <c r="D60" i="10"/>
  <c r="G56" i="10"/>
  <c r="G55" i="10"/>
  <c r="G54" i="10"/>
  <c r="G53" i="10"/>
  <c r="G52" i="10"/>
  <c r="G47" i="10"/>
  <c r="D46" i="10"/>
  <c r="J39" i="10"/>
  <c r="H39" i="10"/>
  <c r="M7" i="10" s="1"/>
  <c r="I38" i="10"/>
  <c r="J38" i="10" s="1"/>
  <c r="G38" i="10"/>
  <c r="H38" i="10" s="1"/>
  <c r="I37" i="10"/>
  <c r="J37" i="10" s="1"/>
  <c r="G37" i="10"/>
  <c r="D37" i="10"/>
  <c r="D36" i="10"/>
  <c r="X33" i="10"/>
  <c r="W33" i="10"/>
  <c r="V33" i="10"/>
  <c r="S33" i="10"/>
  <c r="X32" i="10"/>
  <c r="W32" i="10"/>
  <c r="S32" i="10"/>
  <c r="V32" i="10"/>
  <c r="J32" i="10"/>
  <c r="X31" i="10"/>
  <c r="W31" i="10"/>
  <c r="V31" i="10"/>
  <c r="S31" i="10"/>
  <c r="J31" i="10"/>
  <c r="X30" i="10"/>
  <c r="G78" i="10" s="1"/>
  <c r="W30" i="10"/>
  <c r="V30" i="10"/>
  <c r="S30" i="10"/>
  <c r="J30" i="10"/>
  <c r="X29" i="10"/>
  <c r="W29" i="10"/>
  <c r="V29" i="10"/>
  <c r="S29" i="10"/>
  <c r="C29" i="10"/>
  <c r="C30" i="10" s="1"/>
  <c r="X26" i="10"/>
  <c r="W26" i="10"/>
  <c r="V26" i="10"/>
  <c r="S26" i="10"/>
  <c r="X25" i="10"/>
  <c r="W25" i="10"/>
  <c r="V25" i="10"/>
  <c r="S25" i="10"/>
  <c r="X24" i="10"/>
  <c r="W24" i="10"/>
  <c r="V24" i="10"/>
  <c r="X23" i="10"/>
  <c r="W23" i="10"/>
  <c r="V23" i="10"/>
  <c r="X22" i="10"/>
  <c r="W22" i="10"/>
  <c r="V22" i="10"/>
  <c r="S22" i="10"/>
  <c r="J22" i="10"/>
  <c r="J23" i="10" s="1"/>
  <c r="O6" i="8" s="1"/>
  <c r="X21" i="10"/>
  <c r="W21" i="10"/>
  <c r="G65" i="10" s="1"/>
  <c r="V21" i="10"/>
  <c r="S21" i="10"/>
  <c r="C21" i="10"/>
  <c r="C22" i="10" s="1"/>
  <c r="D18" i="10"/>
  <c r="D17" i="10"/>
  <c r="D16" i="10"/>
  <c r="D15" i="10"/>
  <c r="M12" i="10"/>
  <c r="M11" i="10"/>
  <c r="K29" i="9"/>
  <c r="K32" i="9"/>
  <c r="U26" i="9"/>
  <c r="U25" i="9"/>
  <c r="U24" i="9"/>
  <c r="D18" i="9"/>
  <c r="D17" i="9"/>
  <c r="D16" i="9"/>
  <c r="D15" i="9"/>
  <c r="M12" i="9" s="1"/>
  <c r="G80" i="9"/>
  <c r="H80" i="9" s="1"/>
  <c r="G79" i="9"/>
  <c r="H79" i="9" s="1"/>
  <c r="D74" i="9"/>
  <c r="G70" i="9"/>
  <c r="G69" i="9"/>
  <c r="G68" i="9"/>
  <c r="G67" i="9"/>
  <c r="G66" i="9"/>
  <c r="G61" i="9"/>
  <c r="D60" i="9"/>
  <c r="G56" i="9"/>
  <c r="G55" i="9"/>
  <c r="G54" i="9"/>
  <c r="G53" i="9"/>
  <c r="G52" i="9"/>
  <c r="G47" i="9"/>
  <c r="D46" i="9"/>
  <c r="J39" i="9"/>
  <c r="I37" i="9"/>
  <c r="J37" i="9" s="1"/>
  <c r="G37" i="9"/>
  <c r="D37" i="9"/>
  <c r="D36" i="9"/>
  <c r="X33" i="9"/>
  <c r="W33" i="9"/>
  <c r="V33" i="9"/>
  <c r="S33" i="9"/>
  <c r="X32" i="9"/>
  <c r="W32" i="9"/>
  <c r="V32" i="9"/>
  <c r="S32" i="9"/>
  <c r="H39" i="9"/>
  <c r="M7" i="9" s="1"/>
  <c r="J32" i="9"/>
  <c r="X31" i="9"/>
  <c r="W31" i="9"/>
  <c r="V31" i="9"/>
  <c r="S31" i="9"/>
  <c r="J31" i="9"/>
  <c r="X30" i="9"/>
  <c r="G78" i="9" s="1"/>
  <c r="W30" i="9"/>
  <c r="V30" i="9"/>
  <c r="S30" i="9"/>
  <c r="J30" i="9"/>
  <c r="X29" i="9"/>
  <c r="W29" i="9"/>
  <c r="V29" i="9"/>
  <c r="S29" i="9"/>
  <c r="J29" i="9"/>
  <c r="C29" i="9"/>
  <c r="C30" i="9" s="1"/>
  <c r="C31" i="9" s="1"/>
  <c r="C32" i="9" s="1"/>
  <c r="X26" i="9"/>
  <c r="W26" i="9"/>
  <c r="V26" i="9"/>
  <c r="S26" i="9"/>
  <c r="X25" i="9"/>
  <c r="W25" i="9"/>
  <c r="V25" i="9"/>
  <c r="S25" i="9"/>
  <c r="X24" i="9"/>
  <c r="W24" i="9"/>
  <c r="V24" i="9"/>
  <c r="S24" i="9"/>
  <c r="J24" i="9"/>
  <c r="X23" i="9"/>
  <c r="W23" i="9"/>
  <c r="V23" i="9"/>
  <c r="S23" i="9"/>
  <c r="J23" i="9"/>
  <c r="X22" i="9"/>
  <c r="W22" i="9"/>
  <c r="G65" i="9" s="1"/>
  <c r="V22" i="9"/>
  <c r="S22" i="9"/>
  <c r="J22" i="9"/>
  <c r="X21" i="9"/>
  <c r="W21" i="9"/>
  <c r="V21" i="9"/>
  <c r="S21" i="9"/>
  <c r="J21" i="9"/>
  <c r="J25" i="9" s="1"/>
  <c r="O5" i="8" s="1"/>
  <c r="C21" i="9"/>
  <c r="C22" i="9" s="1"/>
  <c r="C23" i="9" s="1"/>
  <c r="C24" i="9" s="1"/>
  <c r="M11" i="9"/>
  <c r="V63" i="8"/>
  <c r="V61" i="8"/>
  <c r="V59" i="8"/>
  <c r="V57" i="8"/>
  <c r="V55" i="8"/>
  <c r="V53" i="8"/>
  <c r="V51" i="8"/>
  <c r="V49" i="8"/>
  <c r="V47" i="8"/>
  <c r="V45" i="8"/>
  <c r="V43" i="8"/>
  <c r="V41" i="8"/>
  <c r="V39" i="8"/>
  <c r="V37" i="8"/>
  <c r="V35" i="8"/>
  <c r="V33" i="8"/>
  <c r="V31" i="8"/>
  <c r="V29" i="8"/>
  <c r="V27" i="8"/>
  <c r="V25" i="8"/>
  <c r="V23" i="8"/>
  <c r="V21" i="8"/>
  <c r="V19" i="8"/>
  <c r="V17" i="8"/>
  <c r="V15" i="8"/>
  <c r="V13" i="8"/>
  <c r="V11" i="8"/>
  <c r="V9" i="8"/>
  <c r="V7" i="8"/>
  <c r="V5" i="8"/>
  <c r="G64" i="8"/>
  <c r="G63" i="8"/>
  <c r="G62" i="8"/>
  <c r="AB61" i="8" s="1"/>
  <c r="AB67" i="8" s="1"/>
  <c r="G61" i="8"/>
  <c r="AA61" i="8" s="1"/>
  <c r="G60" i="8"/>
  <c r="G58" i="8"/>
  <c r="G56" i="8"/>
  <c r="G55" i="8"/>
  <c r="G54" i="8"/>
  <c r="G53" i="8"/>
  <c r="G48" i="8"/>
  <c r="G46" i="8"/>
  <c r="G45" i="8"/>
  <c r="G43" i="8"/>
  <c r="AA38" i="8" s="1"/>
  <c r="V3" i="8"/>
  <c r="W3" i="8" s="1"/>
  <c r="N32" i="5"/>
  <c r="N31" i="5"/>
  <c r="H39" i="5"/>
  <c r="M7" i="5" s="1"/>
  <c r="J31" i="5"/>
  <c r="V29" i="5"/>
  <c r="U33" i="5"/>
  <c r="U29" i="5"/>
  <c r="J39" i="5"/>
  <c r="I37" i="5"/>
  <c r="J37" i="5" s="1"/>
  <c r="U21" i="5"/>
  <c r="U25" i="5"/>
  <c r="U26" i="5"/>
  <c r="V22" i="6"/>
  <c r="J22" i="6"/>
  <c r="J24" i="6" s="1"/>
  <c r="O4" i="8" s="1"/>
  <c r="G77" i="6"/>
  <c r="H77" i="6" s="1"/>
  <c r="G76" i="6"/>
  <c r="H76" i="6" s="1"/>
  <c r="G75" i="6"/>
  <c r="H75" i="6" s="1"/>
  <c r="D71" i="6"/>
  <c r="G67" i="6"/>
  <c r="G66" i="6"/>
  <c r="G65" i="6"/>
  <c r="G64" i="6"/>
  <c r="G63" i="6"/>
  <c r="G58" i="6"/>
  <c r="D57" i="6"/>
  <c r="G53" i="6"/>
  <c r="G52" i="6"/>
  <c r="G51" i="6"/>
  <c r="G50" i="6"/>
  <c r="G44" i="6"/>
  <c r="D43" i="6"/>
  <c r="H35" i="6"/>
  <c r="M7" i="6" s="1"/>
  <c r="D33" i="6"/>
  <c r="D32" i="6"/>
  <c r="X29" i="6"/>
  <c r="W29" i="6"/>
  <c r="V29" i="6"/>
  <c r="S29" i="6"/>
  <c r="J29" i="6"/>
  <c r="G33" i="6" s="1"/>
  <c r="X28" i="6"/>
  <c r="W28" i="6"/>
  <c r="V28" i="6"/>
  <c r="S28" i="6"/>
  <c r="J28" i="6"/>
  <c r="J30" i="6" s="1"/>
  <c r="P4" i="8" s="1"/>
  <c r="X27" i="6"/>
  <c r="W27" i="6"/>
  <c r="V27" i="6"/>
  <c r="S27" i="6"/>
  <c r="C27" i="6"/>
  <c r="C28" i="6" s="1"/>
  <c r="C29" i="6" s="1"/>
  <c r="X24" i="6"/>
  <c r="G48" i="6"/>
  <c r="X23" i="6"/>
  <c r="W23" i="6"/>
  <c r="V23" i="6"/>
  <c r="S23" i="6"/>
  <c r="X22" i="6"/>
  <c r="S22" i="6"/>
  <c r="W22" i="6"/>
  <c r="X21" i="6"/>
  <c r="W21" i="6"/>
  <c r="V21" i="6"/>
  <c r="S21" i="6"/>
  <c r="C21" i="6"/>
  <c r="C22" i="6" s="1"/>
  <c r="C23" i="6" s="1"/>
  <c r="C24" i="6" s="1"/>
  <c r="M12" i="6"/>
  <c r="J32" i="5"/>
  <c r="J30" i="5"/>
  <c r="J29" i="5"/>
  <c r="J33" i="5" s="1"/>
  <c r="O3" i="8" s="1"/>
  <c r="S21" i="4"/>
  <c r="J24" i="5"/>
  <c r="G48" i="5" s="1"/>
  <c r="H48" i="5" s="1"/>
  <c r="J23" i="5"/>
  <c r="K22" i="5"/>
  <c r="W22" i="5" s="1"/>
  <c r="J22" i="5"/>
  <c r="G38" i="5" s="1"/>
  <c r="J21" i="5"/>
  <c r="J25" i="5" s="1"/>
  <c r="P3" i="8" s="1"/>
  <c r="G80" i="5"/>
  <c r="H80" i="5" s="1"/>
  <c r="G79" i="5"/>
  <c r="H79" i="5" s="1"/>
  <c r="G78" i="5"/>
  <c r="H78" i="5" s="1"/>
  <c r="D74" i="5"/>
  <c r="G70" i="5"/>
  <c r="G69" i="5"/>
  <c r="G68" i="5"/>
  <c r="G67" i="5"/>
  <c r="G66" i="5"/>
  <c r="G61" i="5"/>
  <c r="D60" i="5"/>
  <c r="G56" i="5"/>
  <c r="G55" i="5"/>
  <c r="G54" i="5"/>
  <c r="G53" i="5"/>
  <c r="G47" i="5"/>
  <c r="D46" i="5"/>
  <c r="D37" i="5"/>
  <c r="D36" i="5"/>
  <c r="X33" i="5"/>
  <c r="W33" i="5"/>
  <c r="V33" i="5"/>
  <c r="S33" i="5"/>
  <c r="X32" i="5"/>
  <c r="W32" i="5"/>
  <c r="V32" i="5"/>
  <c r="S32" i="5"/>
  <c r="X31" i="5"/>
  <c r="W31" i="5"/>
  <c r="V31" i="5"/>
  <c r="S31" i="5"/>
  <c r="X30" i="5"/>
  <c r="W30" i="5"/>
  <c r="V30" i="5"/>
  <c r="S30" i="5"/>
  <c r="X29" i="5"/>
  <c r="W29" i="5"/>
  <c r="S29" i="5"/>
  <c r="C29" i="5"/>
  <c r="C30" i="5" s="1"/>
  <c r="C31" i="5" s="1"/>
  <c r="C32" i="5" s="1"/>
  <c r="C33" i="5" s="1"/>
  <c r="X26" i="5"/>
  <c r="W26" i="5"/>
  <c r="V26" i="5"/>
  <c r="S26" i="5"/>
  <c r="X25" i="5"/>
  <c r="W25" i="5"/>
  <c r="V25" i="5"/>
  <c r="S25" i="5"/>
  <c r="X24" i="5"/>
  <c r="W24" i="5"/>
  <c r="V24" i="5"/>
  <c r="S24" i="5"/>
  <c r="X23" i="5"/>
  <c r="W23" i="5"/>
  <c r="V23" i="5"/>
  <c r="S23" i="5"/>
  <c r="X22" i="5"/>
  <c r="V22" i="5"/>
  <c r="G52" i="5" s="1"/>
  <c r="S22" i="5"/>
  <c r="X21" i="5"/>
  <c r="W21" i="5"/>
  <c r="V21" i="5"/>
  <c r="S21" i="5"/>
  <c r="C21" i="5"/>
  <c r="C22" i="5" s="1"/>
  <c r="C23" i="5" s="1"/>
  <c r="C24" i="5" s="1"/>
  <c r="C25" i="5" s="1"/>
  <c r="C26" i="5" s="1"/>
  <c r="M12" i="5"/>
  <c r="J25" i="3"/>
  <c r="G59" i="8" l="1"/>
  <c r="C33" i="55"/>
  <c r="J33" i="55" s="1"/>
  <c r="M64" i="8"/>
  <c r="M63" i="8"/>
  <c r="M62" i="8"/>
  <c r="M61" i="8"/>
  <c r="M60" i="8"/>
  <c r="M59" i="8"/>
  <c r="M58" i="8"/>
  <c r="M56" i="8"/>
  <c r="M55" i="8"/>
  <c r="M54" i="8"/>
  <c r="M53" i="8"/>
  <c r="G23" i="55"/>
  <c r="G21" i="55"/>
  <c r="G22" i="55"/>
  <c r="G20" i="55"/>
  <c r="H77" i="28"/>
  <c r="H76" i="28"/>
  <c r="H66" i="28"/>
  <c r="H65" i="28"/>
  <c r="H64" i="28"/>
  <c r="H63" i="28"/>
  <c r="I49" i="26"/>
  <c r="I40" i="24"/>
  <c r="J40" i="24" s="1"/>
  <c r="I45" i="23"/>
  <c r="H69" i="14"/>
  <c r="H68" i="14"/>
  <c r="M45" i="8"/>
  <c r="M43" i="8"/>
  <c r="I46" i="36"/>
  <c r="I52" i="36" s="1"/>
  <c r="M46" i="36"/>
  <c r="I45" i="26"/>
  <c r="M45" i="26"/>
  <c r="I45" i="20"/>
  <c r="M45" i="20"/>
  <c r="J46" i="18"/>
  <c r="I46" i="18" s="1"/>
  <c r="I45" i="18"/>
  <c r="M48" i="8"/>
  <c r="M46" i="8"/>
  <c r="H84" i="35"/>
  <c r="H83" i="35"/>
  <c r="H82" i="35"/>
  <c r="H80" i="35"/>
  <c r="H79" i="35"/>
  <c r="H70" i="35"/>
  <c r="H69" i="35"/>
  <c r="H68" i="35"/>
  <c r="H67" i="35"/>
  <c r="H66" i="35"/>
  <c r="H65" i="35"/>
  <c r="H84" i="33"/>
  <c r="H83" i="33"/>
  <c r="H82" i="33"/>
  <c r="H81" i="33"/>
  <c r="H80" i="33"/>
  <c r="M12" i="34"/>
  <c r="H70" i="33"/>
  <c r="H69" i="33"/>
  <c r="H68" i="33"/>
  <c r="H67" i="33"/>
  <c r="H66" i="33"/>
  <c r="H84" i="32"/>
  <c r="H83" i="32"/>
  <c r="H82" i="32"/>
  <c r="H81" i="32"/>
  <c r="H80" i="32"/>
  <c r="H70" i="32"/>
  <c r="H69" i="32"/>
  <c r="H68" i="32"/>
  <c r="H67" i="32"/>
  <c r="H66" i="32"/>
  <c r="I48" i="32"/>
  <c r="H80" i="28"/>
  <c r="H82" i="30"/>
  <c r="H81" i="30"/>
  <c r="H80" i="30"/>
  <c r="H79" i="28"/>
  <c r="M12" i="30"/>
  <c r="H81" i="29"/>
  <c r="M12" i="29"/>
  <c r="H79" i="26"/>
  <c r="H78" i="26"/>
  <c r="H77" i="26"/>
  <c r="H76" i="26"/>
  <c r="H75" i="26"/>
  <c r="H65" i="26"/>
  <c r="H64" i="26"/>
  <c r="H63" i="26"/>
  <c r="H62" i="26"/>
  <c r="H61" i="26"/>
  <c r="H79" i="25"/>
  <c r="H78" i="25"/>
  <c r="H77" i="25"/>
  <c r="H76" i="25"/>
  <c r="H75" i="25"/>
  <c r="H65" i="25"/>
  <c r="H64" i="25"/>
  <c r="H63" i="25"/>
  <c r="H62" i="25"/>
  <c r="H61" i="25"/>
  <c r="H79" i="24"/>
  <c r="H78" i="24"/>
  <c r="H77" i="24"/>
  <c r="H76" i="24"/>
  <c r="H75" i="24"/>
  <c r="H65" i="24"/>
  <c r="H64" i="24"/>
  <c r="H63" i="24"/>
  <c r="H62" i="24"/>
  <c r="H61" i="24"/>
  <c r="I45" i="24"/>
  <c r="J29" i="22"/>
  <c r="H74" i="20"/>
  <c r="H73" i="20"/>
  <c r="H72" i="20"/>
  <c r="H71" i="20"/>
  <c r="H70" i="20"/>
  <c r="H60" i="20"/>
  <c r="H59" i="20"/>
  <c r="H58" i="20"/>
  <c r="H57" i="20"/>
  <c r="H56" i="20"/>
  <c r="H60" i="18"/>
  <c r="H59" i="16"/>
  <c r="H57" i="16"/>
  <c r="H56" i="16"/>
  <c r="I44" i="17"/>
  <c r="H74" i="19"/>
  <c r="H73" i="19"/>
  <c r="H72" i="19"/>
  <c r="H71" i="19"/>
  <c r="H70" i="19"/>
  <c r="H60" i="19"/>
  <c r="H59" i="19"/>
  <c r="H58" i="19"/>
  <c r="H57" i="19"/>
  <c r="H56" i="19"/>
  <c r="G66" i="19"/>
  <c r="H66" i="19" s="1"/>
  <c r="H70" i="16"/>
  <c r="H58" i="16"/>
  <c r="H55" i="16"/>
  <c r="H56" i="14"/>
  <c r="H73" i="17"/>
  <c r="H72" i="17"/>
  <c r="H71" i="17"/>
  <c r="H70" i="17"/>
  <c r="H69" i="17"/>
  <c r="H59" i="17"/>
  <c r="H58" i="17"/>
  <c r="H57" i="17"/>
  <c r="H56" i="17"/>
  <c r="H55" i="17"/>
  <c r="I46" i="16"/>
  <c r="H73" i="16"/>
  <c r="H72" i="16"/>
  <c r="H71" i="16"/>
  <c r="H69" i="16"/>
  <c r="H72" i="14"/>
  <c r="H70" i="14"/>
  <c r="H58" i="14"/>
  <c r="H55" i="14"/>
  <c r="H73" i="15"/>
  <c r="H72" i="15"/>
  <c r="H71" i="15"/>
  <c r="H70" i="15"/>
  <c r="H69" i="15"/>
  <c r="H59" i="15"/>
  <c r="H58" i="15"/>
  <c r="H57" i="15"/>
  <c r="H56" i="15"/>
  <c r="H55" i="15"/>
  <c r="I44" i="15"/>
  <c r="H71" i="14"/>
  <c r="H57" i="14"/>
  <c r="H54" i="14"/>
  <c r="H69" i="13"/>
  <c r="H68" i="13"/>
  <c r="H57" i="13"/>
  <c r="H55" i="13"/>
  <c r="H72" i="12"/>
  <c r="H71" i="12"/>
  <c r="H70" i="12"/>
  <c r="H69" i="12"/>
  <c r="H68" i="12"/>
  <c r="H58" i="12"/>
  <c r="H57" i="12"/>
  <c r="H56" i="12"/>
  <c r="H55" i="12"/>
  <c r="H54" i="12"/>
  <c r="G50" i="12"/>
  <c r="H50" i="12" s="1"/>
  <c r="M12" i="12"/>
  <c r="H53" i="10"/>
  <c r="H70" i="9"/>
  <c r="H69" i="9"/>
  <c r="H68" i="9"/>
  <c r="H67" i="9"/>
  <c r="H66" i="9"/>
  <c r="H56" i="9"/>
  <c r="H55" i="9"/>
  <c r="H54" i="9"/>
  <c r="H53" i="9"/>
  <c r="H52" i="9"/>
  <c r="H78" i="28"/>
  <c r="J45" i="11"/>
  <c r="I44" i="11"/>
  <c r="Q29" i="8"/>
  <c r="Q24" i="8"/>
  <c r="Q21" i="8"/>
  <c r="H42" i="36"/>
  <c r="M10" i="36"/>
  <c r="M9" i="36"/>
  <c r="H86" i="36"/>
  <c r="M8" i="36"/>
  <c r="H72" i="36"/>
  <c r="G63" i="35"/>
  <c r="H63" i="35" s="1"/>
  <c r="G95" i="35"/>
  <c r="U38" i="35"/>
  <c r="H46" i="35" s="1"/>
  <c r="G77" i="35"/>
  <c r="H77" i="35" s="1"/>
  <c r="H81" i="35"/>
  <c r="K42" i="35"/>
  <c r="L42" i="35" s="1"/>
  <c r="M6" i="35"/>
  <c r="H42" i="35"/>
  <c r="H95" i="35"/>
  <c r="M10" i="35"/>
  <c r="G85" i="35"/>
  <c r="G71" i="35"/>
  <c r="H92" i="35"/>
  <c r="I55" i="34"/>
  <c r="G60" i="34"/>
  <c r="H60" i="34" s="1"/>
  <c r="H64" i="34"/>
  <c r="H82" i="34"/>
  <c r="H81" i="34"/>
  <c r="H80" i="34"/>
  <c r="H79" i="34"/>
  <c r="H66" i="34"/>
  <c r="H65" i="34"/>
  <c r="H78" i="34"/>
  <c r="H67" i="34"/>
  <c r="H68" i="34"/>
  <c r="I41" i="34"/>
  <c r="J41" i="34" s="1"/>
  <c r="G75" i="34"/>
  <c r="H75" i="34" s="1"/>
  <c r="G61" i="34"/>
  <c r="H61" i="34" s="1"/>
  <c r="G93" i="34"/>
  <c r="H90" i="34"/>
  <c r="G83" i="34"/>
  <c r="H77" i="34"/>
  <c r="H63" i="34"/>
  <c r="G69" i="34"/>
  <c r="G74" i="34"/>
  <c r="H74" i="34" s="1"/>
  <c r="G41" i="34"/>
  <c r="I54" i="33"/>
  <c r="I42" i="33"/>
  <c r="J42" i="33" s="1"/>
  <c r="G77" i="33"/>
  <c r="H77" i="33" s="1"/>
  <c r="G63" i="33"/>
  <c r="H63" i="33" s="1"/>
  <c r="G95" i="33"/>
  <c r="H92" i="33"/>
  <c r="G85" i="33"/>
  <c r="H79" i="33"/>
  <c r="G71" i="33"/>
  <c r="H65" i="33"/>
  <c r="G42" i="33"/>
  <c r="G62" i="33"/>
  <c r="H62" i="33" s="1"/>
  <c r="I43" i="32"/>
  <c r="J43" i="32" s="1"/>
  <c r="Q28" i="8"/>
  <c r="G76" i="32"/>
  <c r="H76" i="32" s="1"/>
  <c r="G77" i="32"/>
  <c r="H77" i="32" s="1"/>
  <c r="G63" i="32"/>
  <c r="H63" i="32" s="1"/>
  <c r="G95" i="32"/>
  <c r="H92" i="32"/>
  <c r="H79" i="32"/>
  <c r="G85" i="32"/>
  <c r="H65" i="32"/>
  <c r="G71" i="32"/>
  <c r="G62" i="32"/>
  <c r="H62" i="32" s="1"/>
  <c r="G43" i="32"/>
  <c r="H81" i="31"/>
  <c r="Q27" i="8"/>
  <c r="H84" i="31"/>
  <c r="H83" i="31"/>
  <c r="H82" i="31"/>
  <c r="H80" i="31"/>
  <c r="H70" i="31"/>
  <c r="H68" i="31"/>
  <c r="H67" i="31"/>
  <c r="H66" i="31"/>
  <c r="H69" i="31"/>
  <c r="I42" i="31"/>
  <c r="J42" i="31" s="1"/>
  <c r="G77" i="31"/>
  <c r="H77" i="31" s="1"/>
  <c r="G76" i="31"/>
  <c r="H76" i="31" s="1"/>
  <c r="G63" i="31"/>
  <c r="H63" i="31" s="1"/>
  <c r="G95" i="31"/>
  <c r="H92" i="31"/>
  <c r="G85" i="31"/>
  <c r="H79" i="31"/>
  <c r="H65" i="31"/>
  <c r="G71" i="31"/>
  <c r="J54" i="31"/>
  <c r="I54" i="31" s="1"/>
  <c r="I47" i="31"/>
  <c r="G62" i="31"/>
  <c r="H62" i="31" s="1"/>
  <c r="G42" i="31"/>
  <c r="H83" i="30"/>
  <c r="H67" i="30"/>
  <c r="H66" i="30"/>
  <c r="G62" i="30"/>
  <c r="H62" i="30" s="1"/>
  <c r="J54" i="30"/>
  <c r="I54" i="30" s="1"/>
  <c r="I48" i="30"/>
  <c r="Q26" i="8"/>
  <c r="G43" i="30"/>
  <c r="I43" i="30"/>
  <c r="H70" i="30"/>
  <c r="H84" i="30"/>
  <c r="H68" i="30"/>
  <c r="H69" i="30"/>
  <c r="G77" i="30"/>
  <c r="H77" i="30" s="1"/>
  <c r="G63" i="30"/>
  <c r="H63" i="30" s="1"/>
  <c r="H92" i="30"/>
  <c r="G95" i="30"/>
  <c r="G85" i="30"/>
  <c r="H79" i="30"/>
  <c r="G71" i="30"/>
  <c r="H65" i="30"/>
  <c r="Q25" i="8"/>
  <c r="H68" i="29"/>
  <c r="H78" i="29"/>
  <c r="I42" i="29"/>
  <c r="J42" i="29" s="1"/>
  <c r="G75" i="29"/>
  <c r="H75" i="29" s="1"/>
  <c r="H82" i="29"/>
  <c r="H80" i="29"/>
  <c r="H79" i="29"/>
  <c r="H67" i="29"/>
  <c r="H66" i="29"/>
  <c r="H65" i="29"/>
  <c r="H64" i="29"/>
  <c r="G61" i="29"/>
  <c r="H61" i="29" s="1"/>
  <c r="G93" i="29"/>
  <c r="H90" i="29"/>
  <c r="G83" i="29"/>
  <c r="H77" i="29"/>
  <c r="G69" i="29"/>
  <c r="H63" i="29"/>
  <c r="J52" i="29"/>
  <c r="I52" i="29" s="1"/>
  <c r="G60" i="29"/>
  <c r="H60" i="29" s="1"/>
  <c r="G42" i="29"/>
  <c r="G58" i="28"/>
  <c r="H58" i="28" s="1"/>
  <c r="I50" i="28"/>
  <c r="G73" i="28"/>
  <c r="H73" i="28" s="1"/>
  <c r="G59" i="28"/>
  <c r="H59" i="28" s="1"/>
  <c r="G91" i="28"/>
  <c r="H88" i="28"/>
  <c r="H75" i="28"/>
  <c r="G81" i="28"/>
  <c r="G67" i="28"/>
  <c r="H61" i="28"/>
  <c r="G41" i="28"/>
  <c r="G72" i="28"/>
  <c r="H72" i="28" s="1"/>
  <c r="I50" i="27"/>
  <c r="H79" i="27"/>
  <c r="H78" i="27"/>
  <c r="H77" i="27"/>
  <c r="H76" i="27"/>
  <c r="H80" i="27"/>
  <c r="H66" i="27"/>
  <c r="H65" i="27"/>
  <c r="H64" i="27"/>
  <c r="H63" i="27"/>
  <c r="H62" i="27"/>
  <c r="G73" i="27"/>
  <c r="H73" i="27" s="1"/>
  <c r="G59" i="27"/>
  <c r="H59" i="27" s="1"/>
  <c r="G72" i="27"/>
  <c r="H72" i="27" s="1"/>
  <c r="H88" i="27"/>
  <c r="G91" i="27"/>
  <c r="G81" i="27"/>
  <c r="H75" i="27"/>
  <c r="H61" i="27"/>
  <c r="G67" i="27"/>
  <c r="I41" i="27"/>
  <c r="J41" i="27" s="1"/>
  <c r="P23" i="8"/>
  <c r="Q23" i="8" s="1"/>
  <c r="G41" i="27"/>
  <c r="G58" i="27"/>
  <c r="H58" i="27" s="1"/>
  <c r="G57" i="26"/>
  <c r="H57" i="26" s="1"/>
  <c r="G72" i="26"/>
  <c r="H72" i="26" s="1"/>
  <c r="G58" i="26"/>
  <c r="H58" i="26" s="1"/>
  <c r="G90" i="26"/>
  <c r="H87" i="26"/>
  <c r="G80" i="26"/>
  <c r="H74" i="26"/>
  <c r="G66" i="26"/>
  <c r="H60" i="26"/>
  <c r="I40" i="26"/>
  <c r="J36" i="26"/>
  <c r="P22" i="8" s="1"/>
  <c r="Q22" i="8" s="1"/>
  <c r="H40" i="26"/>
  <c r="M6" i="26"/>
  <c r="I40" i="25"/>
  <c r="G40" i="25"/>
  <c r="G71" i="25"/>
  <c r="H71" i="25" s="1"/>
  <c r="G72" i="25"/>
  <c r="H72" i="25" s="1"/>
  <c r="G58" i="25"/>
  <c r="H58" i="25" s="1"/>
  <c r="G90" i="25"/>
  <c r="H87" i="25"/>
  <c r="G80" i="25"/>
  <c r="H74" i="25"/>
  <c r="H60" i="25"/>
  <c r="G66" i="25"/>
  <c r="L41" i="25"/>
  <c r="H41" i="25"/>
  <c r="M7" i="25" s="1"/>
  <c r="H40" i="25"/>
  <c r="M6" i="25"/>
  <c r="H74" i="23"/>
  <c r="J36" i="24"/>
  <c r="P20" i="8" s="1"/>
  <c r="Q20" i="8" s="1"/>
  <c r="L41" i="24"/>
  <c r="H41" i="24"/>
  <c r="M7" i="24" s="1"/>
  <c r="G40" i="24"/>
  <c r="H40" i="24" s="1"/>
  <c r="G71" i="24"/>
  <c r="H71" i="24" s="1"/>
  <c r="G58" i="24"/>
  <c r="H58" i="24" s="1"/>
  <c r="G72" i="24"/>
  <c r="H72" i="24" s="1"/>
  <c r="H87" i="24"/>
  <c r="G90" i="24"/>
  <c r="H74" i="24"/>
  <c r="G80" i="24"/>
  <c r="G66" i="24"/>
  <c r="H60" i="24"/>
  <c r="M6" i="24"/>
  <c r="K40" i="24"/>
  <c r="L40" i="24" s="1"/>
  <c r="I40" i="23"/>
  <c r="J40" i="23" s="1"/>
  <c r="H79" i="23"/>
  <c r="H75" i="23"/>
  <c r="H77" i="23"/>
  <c r="H65" i="23"/>
  <c r="H62" i="23"/>
  <c r="H78" i="23"/>
  <c r="H64" i="23"/>
  <c r="H63" i="23"/>
  <c r="H61" i="23"/>
  <c r="J36" i="23"/>
  <c r="P19" i="8" s="1"/>
  <c r="Q19" i="8" s="1"/>
  <c r="G71" i="23"/>
  <c r="H71" i="23" s="1"/>
  <c r="G58" i="23"/>
  <c r="H58" i="23" s="1"/>
  <c r="G72" i="23"/>
  <c r="H72" i="23" s="1"/>
  <c r="G90" i="23"/>
  <c r="H87" i="23"/>
  <c r="H76" i="23"/>
  <c r="G80" i="23"/>
  <c r="G66" i="23"/>
  <c r="H60" i="23"/>
  <c r="U21" i="23"/>
  <c r="L41" i="23"/>
  <c r="H41" i="23"/>
  <c r="M7" i="23" s="1"/>
  <c r="G57" i="23"/>
  <c r="H57" i="23" s="1"/>
  <c r="G40" i="23"/>
  <c r="M12" i="22"/>
  <c r="I54" i="22"/>
  <c r="H80" i="22"/>
  <c r="H79" i="22"/>
  <c r="H77" i="22"/>
  <c r="H81" i="22"/>
  <c r="H78" i="22"/>
  <c r="H67" i="22"/>
  <c r="H66" i="22"/>
  <c r="H65" i="22"/>
  <c r="H64" i="22"/>
  <c r="H63" i="22"/>
  <c r="G73" i="22"/>
  <c r="H73" i="22" s="1"/>
  <c r="G59" i="22"/>
  <c r="H59" i="22" s="1"/>
  <c r="G60" i="22"/>
  <c r="H60" i="22" s="1"/>
  <c r="G74" i="22"/>
  <c r="H74" i="22" s="1"/>
  <c r="G92" i="22"/>
  <c r="H89" i="22"/>
  <c r="G82" i="22"/>
  <c r="H76" i="22"/>
  <c r="G68" i="22"/>
  <c r="H62" i="22"/>
  <c r="J51" i="22"/>
  <c r="I51" i="22" s="1"/>
  <c r="I47" i="22"/>
  <c r="J43" i="22"/>
  <c r="I42" i="22"/>
  <c r="J42" i="22" s="1"/>
  <c r="P18" i="8"/>
  <c r="H43" i="22"/>
  <c r="M7" i="22" s="1"/>
  <c r="L43" i="22"/>
  <c r="U26" i="22"/>
  <c r="M12" i="21"/>
  <c r="J50" i="21"/>
  <c r="I50" i="21" s="1"/>
  <c r="I46" i="21"/>
  <c r="C23" i="21"/>
  <c r="C25" i="21" s="1"/>
  <c r="C27" i="21" s="1"/>
  <c r="C26" i="21"/>
  <c r="H63" i="21"/>
  <c r="H77" i="21"/>
  <c r="H64" i="21"/>
  <c r="H80" i="21"/>
  <c r="H76" i="21"/>
  <c r="H66" i="21"/>
  <c r="H62" i="21"/>
  <c r="H79" i="21"/>
  <c r="H65" i="21"/>
  <c r="H78" i="21"/>
  <c r="G73" i="21"/>
  <c r="H73" i="21" s="1"/>
  <c r="G59" i="21"/>
  <c r="H59" i="21" s="1"/>
  <c r="H88" i="21"/>
  <c r="G91" i="21"/>
  <c r="G81" i="21"/>
  <c r="H75" i="21"/>
  <c r="G67" i="21"/>
  <c r="H61" i="21"/>
  <c r="G58" i="21"/>
  <c r="H58" i="21" s="1"/>
  <c r="I41" i="21"/>
  <c r="J41" i="21" s="1"/>
  <c r="J37" i="21"/>
  <c r="P17" i="8" s="1"/>
  <c r="Q17" i="8" s="1"/>
  <c r="G41" i="21"/>
  <c r="G72" i="21"/>
  <c r="H72" i="21" s="1"/>
  <c r="S5" i="8"/>
  <c r="Q7" i="8"/>
  <c r="Q4" i="8"/>
  <c r="Q8" i="8"/>
  <c r="Q3" i="8"/>
  <c r="J26" i="20"/>
  <c r="G66" i="20"/>
  <c r="H66" i="20" s="1"/>
  <c r="G52" i="20"/>
  <c r="H52" i="20" s="1"/>
  <c r="G53" i="20"/>
  <c r="H53" i="20" s="1"/>
  <c r="G67" i="20"/>
  <c r="H67" i="20" s="1"/>
  <c r="G85" i="20"/>
  <c r="H82" i="20"/>
  <c r="G75" i="20"/>
  <c r="H69" i="20"/>
  <c r="G61" i="20"/>
  <c r="H55" i="20"/>
  <c r="I39" i="20"/>
  <c r="J39" i="20" s="1"/>
  <c r="J35" i="20"/>
  <c r="P16" i="8" s="1"/>
  <c r="C33" i="20"/>
  <c r="C35" i="20" s="1"/>
  <c r="C34" i="20"/>
  <c r="G67" i="19"/>
  <c r="H67" i="19" s="1"/>
  <c r="G53" i="19"/>
  <c r="H53" i="19" s="1"/>
  <c r="G85" i="19"/>
  <c r="H82" i="19"/>
  <c r="G75" i="19"/>
  <c r="H69" i="19"/>
  <c r="H55" i="19"/>
  <c r="G61" i="19"/>
  <c r="J46" i="19"/>
  <c r="I46" i="19" s="1"/>
  <c r="I45" i="19"/>
  <c r="I39" i="19"/>
  <c r="J39" i="19" s="1"/>
  <c r="J35" i="19"/>
  <c r="P15" i="8" s="1"/>
  <c r="C33" i="19"/>
  <c r="C35" i="19" s="1"/>
  <c r="C34" i="19"/>
  <c r="H40" i="19"/>
  <c r="M7" i="19" s="1"/>
  <c r="U24" i="19"/>
  <c r="L40" i="19"/>
  <c r="J26" i="19"/>
  <c r="H73" i="18"/>
  <c r="H72" i="18"/>
  <c r="H70" i="18"/>
  <c r="H59" i="18"/>
  <c r="H58" i="18"/>
  <c r="H57" i="18"/>
  <c r="H56" i="18"/>
  <c r="H74" i="18"/>
  <c r="H71" i="18"/>
  <c r="C33" i="18"/>
  <c r="C35" i="18" s="1"/>
  <c r="C34" i="18"/>
  <c r="G52" i="18"/>
  <c r="H52" i="18" s="1"/>
  <c r="G67" i="18"/>
  <c r="H67" i="18" s="1"/>
  <c r="G53" i="18"/>
  <c r="H53" i="18" s="1"/>
  <c r="G85" i="18"/>
  <c r="H82" i="18"/>
  <c r="H69" i="18"/>
  <c r="G75" i="18"/>
  <c r="G61" i="18"/>
  <c r="H55" i="18"/>
  <c r="J40" i="18"/>
  <c r="L40" i="18"/>
  <c r="J35" i="18"/>
  <c r="P14" i="8" s="1"/>
  <c r="I39" i="18"/>
  <c r="J39" i="18" s="1"/>
  <c r="J26" i="18"/>
  <c r="G66" i="18"/>
  <c r="H66" i="18" s="1"/>
  <c r="I38" i="17"/>
  <c r="J38" i="17" s="1"/>
  <c r="J34" i="17"/>
  <c r="P13" i="8" s="1"/>
  <c r="G66" i="17"/>
  <c r="H66" i="17" s="1"/>
  <c r="G52" i="17"/>
  <c r="H52" i="17" s="1"/>
  <c r="H81" i="17"/>
  <c r="G84" i="17"/>
  <c r="H68" i="17"/>
  <c r="G74" i="17"/>
  <c r="H54" i="17"/>
  <c r="G60" i="17"/>
  <c r="J26" i="17"/>
  <c r="I45" i="15"/>
  <c r="G66" i="16"/>
  <c r="H66" i="16" s="1"/>
  <c r="G52" i="16"/>
  <c r="H52" i="16" s="1"/>
  <c r="G51" i="16"/>
  <c r="H51" i="16" s="1"/>
  <c r="G84" i="16"/>
  <c r="H81" i="16"/>
  <c r="G74" i="16"/>
  <c r="H68" i="16"/>
  <c r="H54" i="16"/>
  <c r="G60" i="16"/>
  <c r="I44" i="16"/>
  <c r="J45" i="16"/>
  <c r="I45" i="16" s="1"/>
  <c r="I38" i="16"/>
  <c r="J38" i="16" s="1"/>
  <c r="J34" i="16"/>
  <c r="P12" i="8" s="1"/>
  <c r="G65" i="16"/>
  <c r="H65" i="16" s="1"/>
  <c r="J26" i="16"/>
  <c r="G52" i="15"/>
  <c r="H52" i="15" s="1"/>
  <c r="G66" i="15"/>
  <c r="H66" i="15" s="1"/>
  <c r="G84" i="15"/>
  <c r="H81" i="15"/>
  <c r="G74" i="15"/>
  <c r="H68" i="15"/>
  <c r="G60" i="15"/>
  <c r="H54" i="15"/>
  <c r="J34" i="15"/>
  <c r="P11" i="8" s="1"/>
  <c r="I38" i="15"/>
  <c r="J38" i="15" s="1"/>
  <c r="J26" i="15"/>
  <c r="G65" i="15"/>
  <c r="H65" i="15" s="1"/>
  <c r="G65" i="14"/>
  <c r="H65" i="14" s="1"/>
  <c r="G51" i="14"/>
  <c r="H51" i="14" s="1"/>
  <c r="I44" i="13"/>
  <c r="H73" i="13"/>
  <c r="H70" i="13"/>
  <c r="H59" i="13"/>
  <c r="H56" i="13"/>
  <c r="H71" i="13"/>
  <c r="H58" i="13"/>
  <c r="I46" i="13"/>
  <c r="I45" i="13"/>
  <c r="G38" i="13"/>
  <c r="O9" i="8"/>
  <c r="H80" i="14"/>
  <c r="G83" i="14"/>
  <c r="H67" i="14"/>
  <c r="G73" i="14"/>
  <c r="H53" i="14"/>
  <c r="G59" i="14"/>
  <c r="J45" i="14"/>
  <c r="I45" i="14" s="1"/>
  <c r="I44" i="14"/>
  <c r="J34" i="14"/>
  <c r="P10" i="8" s="1"/>
  <c r="I38" i="14"/>
  <c r="J38" i="14" s="1"/>
  <c r="G64" i="14"/>
  <c r="H64" i="14" s="1"/>
  <c r="J26" i="14"/>
  <c r="I38" i="13"/>
  <c r="J34" i="13"/>
  <c r="P9" i="8" s="1"/>
  <c r="C25" i="13"/>
  <c r="G65" i="13"/>
  <c r="H65" i="13" s="1"/>
  <c r="G52" i="13"/>
  <c r="H52" i="13" s="1"/>
  <c r="G66" i="13"/>
  <c r="H66" i="13" s="1"/>
  <c r="H81" i="13"/>
  <c r="G84" i="13"/>
  <c r="H54" i="13"/>
  <c r="G60" i="13"/>
  <c r="G64" i="12"/>
  <c r="H64" i="12" s="1"/>
  <c r="G74" i="13"/>
  <c r="H72" i="13"/>
  <c r="G38" i="12"/>
  <c r="I38" i="12"/>
  <c r="G65" i="12"/>
  <c r="H65" i="12" s="1"/>
  <c r="G51" i="12"/>
  <c r="H51" i="12" s="1"/>
  <c r="G83" i="12"/>
  <c r="H80" i="12"/>
  <c r="H67" i="12"/>
  <c r="G73" i="12"/>
  <c r="G59" i="12"/>
  <c r="H53" i="12"/>
  <c r="G38" i="11"/>
  <c r="H57" i="11"/>
  <c r="H56" i="11"/>
  <c r="M12" i="11"/>
  <c r="H58" i="11"/>
  <c r="H55" i="11"/>
  <c r="I38" i="11"/>
  <c r="G65" i="11"/>
  <c r="H65" i="11" s="1"/>
  <c r="G51" i="11"/>
  <c r="H51" i="11" s="1"/>
  <c r="H54" i="11"/>
  <c r="G53" i="11"/>
  <c r="H71" i="11"/>
  <c r="H69" i="11"/>
  <c r="H72" i="11"/>
  <c r="H68" i="11"/>
  <c r="H70" i="11"/>
  <c r="H67" i="11"/>
  <c r="G73" i="11"/>
  <c r="M6" i="11"/>
  <c r="H38" i="11"/>
  <c r="H80" i="11"/>
  <c r="G83" i="11"/>
  <c r="K63" i="8"/>
  <c r="K61" i="8"/>
  <c r="K59" i="8"/>
  <c r="K57" i="8"/>
  <c r="K55" i="8"/>
  <c r="K53" i="8"/>
  <c r="K51" i="8"/>
  <c r="K49" i="8"/>
  <c r="K47" i="8"/>
  <c r="K45" i="8"/>
  <c r="K43" i="8"/>
  <c r="K41" i="8"/>
  <c r="K39" i="8"/>
  <c r="K37" i="8"/>
  <c r="K35" i="8"/>
  <c r="K33" i="8"/>
  <c r="K31" i="8"/>
  <c r="K29" i="8"/>
  <c r="K27" i="8"/>
  <c r="K25" i="8"/>
  <c r="K23" i="8"/>
  <c r="K21" i="8"/>
  <c r="K19" i="8"/>
  <c r="K17" i="8"/>
  <c r="K15" i="8"/>
  <c r="K13" i="8"/>
  <c r="K11" i="8"/>
  <c r="K9" i="8"/>
  <c r="K7" i="8"/>
  <c r="K5" i="8"/>
  <c r="K3" i="8"/>
  <c r="L3" i="8" s="1"/>
  <c r="H61" i="8"/>
  <c r="H53" i="8"/>
  <c r="X54" i="8" s="1"/>
  <c r="H63" i="8"/>
  <c r="H45" i="8"/>
  <c r="X46" i="8" s="1"/>
  <c r="H56" i="10"/>
  <c r="H55" i="10"/>
  <c r="H54" i="10"/>
  <c r="H52" i="10"/>
  <c r="H70" i="10"/>
  <c r="H66" i="10"/>
  <c r="H69" i="10"/>
  <c r="H68" i="10"/>
  <c r="H67" i="10"/>
  <c r="G51" i="10"/>
  <c r="G63" i="10"/>
  <c r="H63" i="10" s="1"/>
  <c r="J33" i="10"/>
  <c r="P6" i="8" s="1"/>
  <c r="Q6" i="8" s="1"/>
  <c r="G71" i="10"/>
  <c r="H65" i="10"/>
  <c r="H37" i="10"/>
  <c r="M6" i="10"/>
  <c r="H78" i="10"/>
  <c r="G81" i="10"/>
  <c r="G48" i="10"/>
  <c r="H48" i="10" s="1"/>
  <c r="G49" i="10"/>
  <c r="H49" i="10" s="1"/>
  <c r="J33" i="9"/>
  <c r="P5" i="8" s="1"/>
  <c r="Q5" i="8" s="1"/>
  <c r="G51" i="9"/>
  <c r="G48" i="9"/>
  <c r="H48" i="9" s="1"/>
  <c r="H37" i="9"/>
  <c r="M6" i="9"/>
  <c r="G63" i="9"/>
  <c r="H63" i="9" s="1"/>
  <c r="G49" i="9"/>
  <c r="H49" i="9" s="1"/>
  <c r="H78" i="9"/>
  <c r="G81" i="9"/>
  <c r="H65" i="9"/>
  <c r="G71" i="9"/>
  <c r="I38" i="9"/>
  <c r="J38" i="9" s="1"/>
  <c r="G38" i="9"/>
  <c r="H38" i="9" s="1"/>
  <c r="G62" i="9"/>
  <c r="H62" i="9" s="1"/>
  <c r="W5" i="8"/>
  <c r="H55" i="8"/>
  <c r="G49" i="6"/>
  <c r="H67" i="6"/>
  <c r="G45" i="6"/>
  <c r="H45" i="6" s="1"/>
  <c r="G62" i="5"/>
  <c r="H62" i="5" s="1"/>
  <c r="I38" i="5"/>
  <c r="J38" i="5" s="1"/>
  <c r="H66" i="6"/>
  <c r="H64" i="6"/>
  <c r="H63" i="6"/>
  <c r="H53" i="6"/>
  <c r="H52" i="6"/>
  <c r="H50" i="6"/>
  <c r="H56" i="5"/>
  <c r="G51" i="5"/>
  <c r="G59" i="6"/>
  <c r="H59" i="6" s="1"/>
  <c r="G34" i="6"/>
  <c r="H34" i="6" s="1"/>
  <c r="H51" i="6"/>
  <c r="G62" i="6"/>
  <c r="H62" i="6" s="1"/>
  <c r="G46" i="6"/>
  <c r="H46" i="6" s="1"/>
  <c r="H65" i="6"/>
  <c r="G78" i="6"/>
  <c r="G60" i="6"/>
  <c r="H60" i="6" s="1"/>
  <c r="H48" i="6"/>
  <c r="H33" i="6"/>
  <c r="M6" i="6"/>
  <c r="H67" i="5"/>
  <c r="H68" i="5"/>
  <c r="H69" i="5"/>
  <c r="H70" i="5"/>
  <c r="H52" i="5"/>
  <c r="H66" i="5"/>
  <c r="H53" i="5"/>
  <c r="H38" i="5"/>
  <c r="H55" i="5"/>
  <c r="G37" i="5"/>
  <c r="H37" i="5" s="1"/>
  <c r="G65" i="5"/>
  <c r="H65" i="5" s="1"/>
  <c r="G63" i="5"/>
  <c r="H63" i="5" s="1"/>
  <c r="H54" i="5"/>
  <c r="G49" i="5"/>
  <c r="H49" i="5" s="1"/>
  <c r="G81" i="5"/>
  <c r="X62" i="8" l="1"/>
  <c r="I61" i="8"/>
  <c r="I63" i="8" s="1"/>
  <c r="AA60" i="8"/>
  <c r="AA67" i="8" s="1"/>
  <c r="H59" i="8"/>
  <c r="X60" i="8" s="1"/>
  <c r="X64" i="8"/>
  <c r="F32" i="8"/>
  <c r="F31" i="8"/>
  <c r="X56" i="8"/>
  <c r="O18" i="8"/>
  <c r="Q18" i="8" s="1"/>
  <c r="G42" i="22"/>
  <c r="I46" i="35"/>
  <c r="I51" i="35" s="1"/>
  <c r="M46" i="35"/>
  <c r="H38" i="13"/>
  <c r="M6" i="13"/>
  <c r="AM18" i="8"/>
  <c r="G39" i="20"/>
  <c r="O16" i="8"/>
  <c r="Q16" i="8" s="1"/>
  <c r="G39" i="19"/>
  <c r="O15" i="8"/>
  <c r="Q15" i="8" s="1"/>
  <c r="G39" i="18"/>
  <c r="O14" i="8"/>
  <c r="Q14" i="8" s="1"/>
  <c r="G38" i="17"/>
  <c r="O13" i="8"/>
  <c r="Q13" i="8" s="1"/>
  <c r="G38" i="16"/>
  <c r="O12" i="8"/>
  <c r="Q12" i="8" s="1"/>
  <c r="G38" i="14"/>
  <c r="O10" i="8"/>
  <c r="Q10" i="8" s="1"/>
  <c r="H71" i="35"/>
  <c r="M8" i="35"/>
  <c r="M9" i="35"/>
  <c r="H85" i="35"/>
  <c r="H93" i="34"/>
  <c r="M10" i="34"/>
  <c r="H83" i="34"/>
  <c r="M9" i="34"/>
  <c r="H69" i="34"/>
  <c r="M8" i="34"/>
  <c r="H41" i="34"/>
  <c r="K41" i="34"/>
  <c r="L41" i="34" s="1"/>
  <c r="M6" i="34"/>
  <c r="M10" i="33"/>
  <c r="H95" i="33"/>
  <c r="H85" i="33"/>
  <c r="M9" i="33"/>
  <c r="H71" i="33"/>
  <c r="M8" i="33"/>
  <c r="M6" i="33"/>
  <c r="H42" i="33"/>
  <c r="K42" i="33"/>
  <c r="L42" i="33" s="1"/>
  <c r="G28" i="8"/>
  <c r="H95" i="32"/>
  <c r="M10" i="32"/>
  <c r="H85" i="32"/>
  <c r="M9" i="32"/>
  <c r="H71" i="32"/>
  <c r="M8" i="32"/>
  <c r="M6" i="32"/>
  <c r="H43" i="32"/>
  <c r="K43" i="32"/>
  <c r="L43" i="32" s="1"/>
  <c r="H95" i="31"/>
  <c r="M10" i="31"/>
  <c r="M9" i="31"/>
  <c r="H85" i="31"/>
  <c r="H71" i="31"/>
  <c r="M8" i="31"/>
  <c r="H42" i="31"/>
  <c r="K42" i="31"/>
  <c r="L42" i="31" s="1"/>
  <c r="M6" i="31"/>
  <c r="G26" i="8"/>
  <c r="H43" i="30"/>
  <c r="M6" i="30"/>
  <c r="J43" i="30"/>
  <c r="K43" i="30"/>
  <c r="L43" i="30" s="1"/>
  <c r="H95" i="30"/>
  <c r="M10" i="30"/>
  <c r="M9" i="30"/>
  <c r="H85" i="30"/>
  <c r="H71" i="30"/>
  <c r="M8" i="30"/>
  <c r="H93" i="29"/>
  <c r="M10" i="29"/>
  <c r="M9" i="29"/>
  <c r="H83" i="29"/>
  <c r="H69" i="29"/>
  <c r="M8" i="29"/>
  <c r="H42" i="29"/>
  <c r="K42" i="29"/>
  <c r="L42" i="29" s="1"/>
  <c r="M6" i="29"/>
  <c r="G24" i="8"/>
  <c r="H91" i="28"/>
  <c r="M10" i="28"/>
  <c r="H81" i="28"/>
  <c r="M9" i="28"/>
  <c r="H67" i="28"/>
  <c r="M8" i="28"/>
  <c r="H41" i="28"/>
  <c r="K41" i="28"/>
  <c r="L41" i="28" s="1"/>
  <c r="M6" i="28"/>
  <c r="H91" i="27"/>
  <c r="M10" i="27"/>
  <c r="H81" i="27"/>
  <c r="M9" i="27"/>
  <c r="H67" i="27"/>
  <c r="M8" i="27"/>
  <c r="H41" i="27"/>
  <c r="K41" i="27"/>
  <c r="L41" i="27" s="1"/>
  <c r="M6" i="27"/>
  <c r="J40" i="26"/>
  <c r="K40" i="26"/>
  <c r="L40" i="26" s="1"/>
  <c r="H90" i="26"/>
  <c r="M10" i="26"/>
  <c r="H80" i="26"/>
  <c r="M9" i="26"/>
  <c r="H66" i="26"/>
  <c r="M8" i="26"/>
  <c r="J40" i="25"/>
  <c r="K40" i="25"/>
  <c r="L40" i="25" s="1"/>
  <c r="H90" i="25"/>
  <c r="M10" i="25"/>
  <c r="H80" i="25"/>
  <c r="M9" i="25"/>
  <c r="H66" i="25"/>
  <c r="M8" i="25"/>
  <c r="M10" i="24"/>
  <c r="H90" i="24"/>
  <c r="H80" i="24"/>
  <c r="M9" i="24"/>
  <c r="H66" i="24"/>
  <c r="M8" i="24"/>
  <c r="M10" i="23"/>
  <c r="H90" i="23"/>
  <c r="M9" i="23"/>
  <c r="H80" i="23"/>
  <c r="H66" i="23"/>
  <c r="M8" i="23"/>
  <c r="H40" i="23"/>
  <c r="K40" i="23"/>
  <c r="L40" i="23" s="1"/>
  <c r="M6" i="23"/>
  <c r="Q9" i="8"/>
  <c r="H92" i="22"/>
  <c r="M10" i="22"/>
  <c r="H82" i="22"/>
  <c r="M9" i="22"/>
  <c r="H68" i="22"/>
  <c r="M8" i="22"/>
  <c r="M10" i="21"/>
  <c r="H91" i="21"/>
  <c r="H81" i="21"/>
  <c r="M9" i="21"/>
  <c r="H67" i="21"/>
  <c r="M8" i="21"/>
  <c r="K41" i="21"/>
  <c r="L41" i="21" s="1"/>
  <c r="M6" i="21"/>
  <c r="H41" i="21"/>
  <c r="S7" i="8"/>
  <c r="H85" i="20"/>
  <c r="M10" i="20"/>
  <c r="H75" i="20"/>
  <c r="M9" i="20"/>
  <c r="M8" i="20"/>
  <c r="H61" i="20"/>
  <c r="H85" i="19"/>
  <c r="M10" i="19"/>
  <c r="M9" i="19"/>
  <c r="H75" i="19"/>
  <c r="H61" i="19"/>
  <c r="M8" i="19"/>
  <c r="H39" i="19"/>
  <c r="M6" i="19"/>
  <c r="K39" i="19"/>
  <c r="L39" i="19" s="1"/>
  <c r="G14" i="8"/>
  <c r="AA8" i="8" s="1"/>
  <c r="G10" i="8"/>
  <c r="H85" i="18"/>
  <c r="M10" i="18"/>
  <c r="H75" i="18"/>
  <c r="M9" i="18"/>
  <c r="H61" i="18"/>
  <c r="M8" i="18"/>
  <c r="H39" i="18"/>
  <c r="K39" i="18"/>
  <c r="L39" i="18" s="1"/>
  <c r="M6" i="18"/>
  <c r="G13" i="8"/>
  <c r="AB8" i="8" s="1"/>
  <c r="H74" i="17"/>
  <c r="M9" i="17"/>
  <c r="M8" i="17"/>
  <c r="H60" i="17"/>
  <c r="M10" i="17"/>
  <c r="H84" i="17"/>
  <c r="H38" i="17"/>
  <c r="K38" i="17"/>
  <c r="L38" i="17" s="1"/>
  <c r="M6" i="17"/>
  <c r="G12" i="8"/>
  <c r="AA7" i="8" s="1"/>
  <c r="G11" i="8"/>
  <c r="AB7" i="8" s="1"/>
  <c r="G38" i="15"/>
  <c r="O11" i="8"/>
  <c r="Q11" i="8" s="1"/>
  <c r="H84" i="16"/>
  <c r="M10" i="16"/>
  <c r="M9" i="16"/>
  <c r="H74" i="16"/>
  <c r="H60" i="16"/>
  <c r="M8" i="16"/>
  <c r="H38" i="16"/>
  <c r="K38" i="16"/>
  <c r="L38" i="16" s="1"/>
  <c r="M6" i="16"/>
  <c r="H84" i="15"/>
  <c r="M10" i="15"/>
  <c r="H74" i="15"/>
  <c r="M9" i="15"/>
  <c r="H60" i="15"/>
  <c r="M8" i="15"/>
  <c r="H83" i="14"/>
  <c r="M10" i="14"/>
  <c r="H73" i="14"/>
  <c r="M9" i="14"/>
  <c r="H59" i="14"/>
  <c r="M8" i="14"/>
  <c r="J38" i="13"/>
  <c r="K38" i="13"/>
  <c r="L38" i="13" s="1"/>
  <c r="M8" i="13"/>
  <c r="H60" i="13"/>
  <c r="M10" i="13"/>
  <c r="H84" i="13"/>
  <c r="G7" i="8"/>
  <c r="AB5" i="8" s="1"/>
  <c r="H74" i="13"/>
  <c r="M9" i="13"/>
  <c r="M6" i="12"/>
  <c r="H38" i="12"/>
  <c r="J38" i="12"/>
  <c r="K38" i="12"/>
  <c r="L38" i="12" s="1"/>
  <c r="H83" i="12"/>
  <c r="M10" i="12"/>
  <c r="H73" i="12"/>
  <c r="M9" i="12"/>
  <c r="H59" i="12"/>
  <c r="M8" i="12"/>
  <c r="J38" i="11"/>
  <c r="K38" i="11"/>
  <c r="L38" i="11" s="1"/>
  <c r="G59" i="11"/>
  <c r="H53" i="11"/>
  <c r="L5" i="8"/>
  <c r="G6" i="8"/>
  <c r="AA4" i="8" s="1"/>
  <c r="G5" i="8"/>
  <c r="AB4" i="8" s="1"/>
  <c r="H73" i="11"/>
  <c r="M9" i="11"/>
  <c r="M10" i="11"/>
  <c r="H83" i="11"/>
  <c r="T63" i="8"/>
  <c r="X63" i="8"/>
  <c r="X45" i="8"/>
  <c r="X61" i="8"/>
  <c r="X53" i="8"/>
  <c r="X55" i="8"/>
  <c r="H51" i="10"/>
  <c r="G57" i="10"/>
  <c r="H71" i="10"/>
  <c r="M9" i="10"/>
  <c r="M10" i="10"/>
  <c r="H81" i="10"/>
  <c r="G57" i="9"/>
  <c r="H51" i="9"/>
  <c r="M10" i="9"/>
  <c r="H81" i="9"/>
  <c r="M9" i="9"/>
  <c r="H71" i="9"/>
  <c r="W7" i="8"/>
  <c r="G54" i="6"/>
  <c r="H49" i="6"/>
  <c r="H51" i="5"/>
  <c r="G57" i="5"/>
  <c r="G68" i="6"/>
  <c r="H68" i="6" s="1"/>
  <c r="H78" i="6"/>
  <c r="M10" i="6"/>
  <c r="M6" i="5"/>
  <c r="G71" i="5"/>
  <c r="H71" i="5" s="1"/>
  <c r="H81" i="5"/>
  <c r="M10" i="5"/>
  <c r="AF61" i="8" l="1"/>
  <c r="X59" i="8"/>
  <c r="G19" i="55"/>
  <c r="H42" i="22"/>
  <c r="K42" i="22"/>
  <c r="L42" i="22" s="1"/>
  <c r="M6" i="22"/>
  <c r="H39" i="20"/>
  <c r="K39" i="20"/>
  <c r="L39" i="20" s="1"/>
  <c r="M6" i="20"/>
  <c r="H38" i="14"/>
  <c r="K38" i="14"/>
  <c r="L38" i="14" s="1"/>
  <c r="M6" i="14"/>
  <c r="H38" i="15"/>
  <c r="M6" i="15"/>
  <c r="K38" i="15"/>
  <c r="L38" i="15" s="1"/>
  <c r="AB23" i="8"/>
  <c r="M28" i="8"/>
  <c r="G27" i="8"/>
  <c r="M26" i="8"/>
  <c r="AB22" i="8"/>
  <c r="AB21" i="8"/>
  <c r="M24" i="8"/>
  <c r="M10" i="8"/>
  <c r="AA6" i="8"/>
  <c r="S9" i="8"/>
  <c r="M14" i="8"/>
  <c r="M6" i="8"/>
  <c r="H13" i="8"/>
  <c r="X14" i="8" s="1"/>
  <c r="M13" i="8"/>
  <c r="M12" i="8"/>
  <c r="H11" i="8"/>
  <c r="M11" i="8"/>
  <c r="M7" i="8"/>
  <c r="H59" i="11"/>
  <c r="M8" i="11"/>
  <c r="L7" i="8"/>
  <c r="L9" i="8" s="1"/>
  <c r="L11" i="8" s="1"/>
  <c r="L13" i="8" s="1"/>
  <c r="L15" i="8" s="1"/>
  <c r="L17" i="8" s="1"/>
  <c r="L19" i="8" s="1"/>
  <c r="L21" i="8" s="1"/>
  <c r="L23" i="8" s="1"/>
  <c r="L25" i="8" s="1"/>
  <c r="L27" i="8" s="1"/>
  <c r="L29" i="8" s="1"/>
  <c r="L31" i="8" s="1"/>
  <c r="L33" i="8" s="1"/>
  <c r="L35" i="8" s="1"/>
  <c r="L37" i="8" s="1"/>
  <c r="L39" i="8" s="1"/>
  <c r="L41" i="8" s="1"/>
  <c r="L43" i="8" s="1"/>
  <c r="L45" i="8" s="1"/>
  <c r="L47" i="8" s="1"/>
  <c r="L49" i="8" s="1"/>
  <c r="L51" i="8" s="1"/>
  <c r="L53" i="8" s="1"/>
  <c r="L55" i="8" s="1"/>
  <c r="L57" i="8" s="1"/>
  <c r="L59" i="8" s="1"/>
  <c r="L61" i="8" s="1"/>
  <c r="L63" i="8" s="1"/>
  <c r="L65" i="8" s="1"/>
  <c r="L67" i="8" s="1"/>
  <c r="L69" i="8" s="1"/>
  <c r="L71" i="8" s="1"/>
  <c r="M5" i="8"/>
  <c r="H5" i="8"/>
  <c r="X5" i="8" s="1"/>
  <c r="H57" i="10"/>
  <c r="M8" i="10"/>
  <c r="H57" i="9"/>
  <c r="M8" i="9"/>
  <c r="W9" i="8"/>
  <c r="H54" i="6"/>
  <c r="M8" i="6"/>
  <c r="H57" i="5"/>
  <c r="M8" i="5"/>
  <c r="M9" i="6"/>
  <c r="M9" i="5"/>
  <c r="AF62" i="8" l="1"/>
  <c r="AF63" i="8" s="1"/>
  <c r="H27" i="8"/>
  <c r="X28" i="8" s="1"/>
  <c r="AA23" i="8"/>
  <c r="M27" i="8"/>
  <c r="S11" i="8"/>
  <c r="T11" i="8" s="1"/>
  <c r="X12" i="8"/>
  <c r="X13" i="8"/>
  <c r="X11" i="8"/>
  <c r="T5" i="8"/>
  <c r="X6" i="8"/>
  <c r="W11" i="8"/>
  <c r="K24" i="3"/>
  <c r="J24" i="3"/>
  <c r="U38" i="3"/>
  <c r="U39" i="3"/>
  <c r="U40" i="3"/>
  <c r="U41" i="3"/>
  <c r="U42" i="3"/>
  <c r="U43" i="3"/>
  <c r="U37" i="3"/>
  <c r="C37" i="3"/>
  <c r="C38" i="3" s="1"/>
  <c r="C39" i="3" s="1"/>
  <c r="C40" i="3" s="1"/>
  <c r="C41" i="3" s="1"/>
  <c r="C42" i="3" s="1"/>
  <c r="C43" i="3" s="1"/>
  <c r="C29" i="3"/>
  <c r="C30" i="3" s="1"/>
  <c r="C31" i="3" s="1"/>
  <c r="C32" i="3" s="1"/>
  <c r="C33" i="3" s="1"/>
  <c r="C34" i="3" s="1"/>
  <c r="C35" i="3" s="1"/>
  <c r="C21" i="3"/>
  <c r="C22" i="3" s="1"/>
  <c r="C23" i="3" s="1"/>
  <c r="C24" i="3" s="1"/>
  <c r="C25" i="3" s="1"/>
  <c r="C26" i="3" s="1"/>
  <c r="C27" i="3" s="1"/>
  <c r="U30" i="3"/>
  <c r="U31" i="3"/>
  <c r="U32" i="3"/>
  <c r="U33" i="3"/>
  <c r="U34" i="3"/>
  <c r="U35" i="3"/>
  <c r="U29" i="3"/>
  <c r="U21" i="3"/>
  <c r="S61" i="4"/>
  <c r="S41" i="4"/>
  <c r="S20" i="4"/>
  <c r="S22" i="4" s="1"/>
  <c r="X27" i="8" l="1"/>
  <c r="T45" i="4"/>
  <c r="T46" i="4"/>
  <c r="T47" i="4"/>
  <c r="T48" i="4"/>
  <c r="T49" i="4"/>
  <c r="T27" i="4"/>
  <c r="U27" i="4" s="1"/>
  <c r="T26" i="4"/>
  <c r="U34" i="34" s="1"/>
  <c r="T28" i="4"/>
  <c r="T29" i="4"/>
  <c r="U29" i="4" s="1"/>
  <c r="T30" i="4"/>
  <c r="T31" i="4"/>
  <c r="T32" i="4"/>
  <c r="U34" i="31" s="1"/>
  <c r="T33" i="4"/>
  <c r="U33" i="4" s="1"/>
  <c r="T34" i="4"/>
  <c r="T35" i="4"/>
  <c r="T37" i="4"/>
  <c r="T38" i="4"/>
  <c r="T39" i="4"/>
  <c r="T40" i="4"/>
  <c r="U35" i="34" s="1"/>
  <c r="T24" i="4"/>
  <c r="T25" i="4"/>
  <c r="U31" i="31" s="1"/>
  <c r="T36" i="4"/>
  <c r="U31" i="29" s="1"/>
  <c r="S13" i="8"/>
  <c r="W13" i="8"/>
  <c r="U27" i="6"/>
  <c r="U29" i="6"/>
  <c r="T50" i="4"/>
  <c r="T51" i="4"/>
  <c r="T52" i="4"/>
  <c r="T53" i="4"/>
  <c r="T54" i="4"/>
  <c r="T55" i="4"/>
  <c r="T56" i="4"/>
  <c r="T57" i="4"/>
  <c r="T58" i="4"/>
  <c r="T59" i="4"/>
  <c r="T60" i="4"/>
  <c r="T44" i="4"/>
  <c r="T22" i="4"/>
  <c r="G89" i="3"/>
  <c r="H89" i="3" s="1"/>
  <c r="G90" i="3"/>
  <c r="H90" i="3" s="1"/>
  <c r="X43" i="3"/>
  <c r="X42" i="3"/>
  <c r="X41" i="3"/>
  <c r="X40" i="3"/>
  <c r="X39" i="3"/>
  <c r="X38" i="3"/>
  <c r="X37" i="3"/>
  <c r="X35" i="3"/>
  <c r="X34" i="3"/>
  <c r="X33" i="3"/>
  <c r="X32" i="3"/>
  <c r="X31" i="3"/>
  <c r="X30" i="3"/>
  <c r="X29" i="3"/>
  <c r="X22" i="3"/>
  <c r="X23" i="3"/>
  <c r="X24" i="3"/>
  <c r="G88" i="3" s="1"/>
  <c r="H88" i="3" s="1"/>
  <c r="X25" i="3"/>
  <c r="X26" i="3"/>
  <c r="X27" i="3"/>
  <c r="X21" i="3"/>
  <c r="D84" i="3"/>
  <c r="G76" i="3"/>
  <c r="H76" i="3" s="1"/>
  <c r="G77" i="3"/>
  <c r="H77" i="3" s="1"/>
  <c r="G78" i="3"/>
  <c r="H78" i="3" s="1"/>
  <c r="G79" i="3"/>
  <c r="G80" i="3"/>
  <c r="W43" i="3"/>
  <c r="W42" i="3"/>
  <c r="W41" i="3"/>
  <c r="W40" i="3"/>
  <c r="W39" i="3"/>
  <c r="W38" i="3"/>
  <c r="W37" i="3"/>
  <c r="W35" i="3"/>
  <c r="W34" i="3"/>
  <c r="W33" i="3"/>
  <c r="W32" i="3"/>
  <c r="W31" i="3"/>
  <c r="W30" i="3"/>
  <c r="W29" i="3"/>
  <c r="W22" i="3"/>
  <c r="W23" i="3"/>
  <c r="W24" i="3"/>
  <c r="W25" i="3"/>
  <c r="W26" i="3"/>
  <c r="W27" i="3"/>
  <c r="W21" i="3"/>
  <c r="D70" i="3"/>
  <c r="G64" i="3"/>
  <c r="G65" i="3"/>
  <c r="G66" i="3"/>
  <c r="D56" i="3"/>
  <c r="V43" i="3"/>
  <c r="S43" i="3"/>
  <c r="V42" i="3"/>
  <c r="S42" i="3"/>
  <c r="V41" i="3"/>
  <c r="S41" i="3"/>
  <c r="V40" i="3"/>
  <c r="S40" i="3"/>
  <c r="G72" i="3"/>
  <c r="V39" i="3"/>
  <c r="S39" i="3"/>
  <c r="V38" i="3"/>
  <c r="S38" i="3"/>
  <c r="V37" i="3"/>
  <c r="S37" i="3"/>
  <c r="V35" i="3"/>
  <c r="S35" i="3"/>
  <c r="V34" i="3"/>
  <c r="S34" i="3"/>
  <c r="V33" i="3"/>
  <c r="S33" i="3"/>
  <c r="V32" i="3"/>
  <c r="S32" i="3"/>
  <c r="V31" i="3"/>
  <c r="S31" i="3"/>
  <c r="V30" i="3"/>
  <c r="S30" i="3"/>
  <c r="V29" i="3"/>
  <c r="S29" i="3"/>
  <c r="V22" i="3"/>
  <c r="V23" i="3"/>
  <c r="V24" i="3"/>
  <c r="V25" i="3"/>
  <c r="V26" i="3"/>
  <c r="V27" i="3"/>
  <c r="V21" i="3"/>
  <c r="M12" i="3"/>
  <c r="U26" i="3"/>
  <c r="G71" i="3"/>
  <c r="H49" i="3"/>
  <c r="M7" i="3" s="1"/>
  <c r="G57" i="3"/>
  <c r="D47" i="3"/>
  <c r="D46" i="3"/>
  <c r="S22" i="3"/>
  <c r="S23" i="3"/>
  <c r="S24" i="3"/>
  <c r="S25" i="3"/>
  <c r="S26" i="3"/>
  <c r="S27" i="3"/>
  <c r="S21" i="3"/>
  <c r="J22" i="3"/>
  <c r="J23" i="3"/>
  <c r="J21" i="3"/>
  <c r="H79" i="3" l="1"/>
  <c r="H80" i="3"/>
  <c r="U33" i="34"/>
  <c r="U32" i="34"/>
  <c r="U30" i="31"/>
  <c r="U31" i="34"/>
  <c r="U37" i="34" s="1"/>
  <c r="U30" i="33"/>
  <c r="U32" i="31"/>
  <c r="U31" i="32"/>
  <c r="U34" i="29"/>
  <c r="U33" i="30"/>
  <c r="U28" i="4"/>
  <c r="U33" i="31"/>
  <c r="U35" i="31"/>
  <c r="U35" i="32"/>
  <c r="U32" i="29"/>
  <c r="U32" i="32"/>
  <c r="U33" i="33"/>
  <c r="U33" i="32"/>
  <c r="U33" i="29"/>
  <c r="U34" i="33"/>
  <c r="U36" i="29"/>
  <c r="U34" i="32"/>
  <c r="U32" i="30"/>
  <c r="U35" i="30"/>
  <c r="U31" i="30"/>
  <c r="U35" i="29"/>
  <c r="U32" i="33"/>
  <c r="U34" i="30"/>
  <c r="U35" i="28"/>
  <c r="U31" i="25"/>
  <c r="U26" i="4"/>
  <c r="U32" i="27"/>
  <c r="U30" i="9"/>
  <c r="U30" i="4"/>
  <c r="U30" i="24"/>
  <c r="U31" i="4"/>
  <c r="U33" i="28"/>
  <c r="U32" i="4"/>
  <c r="U34" i="28"/>
  <c r="U34" i="4"/>
  <c r="U35" i="4"/>
  <c r="U31" i="27"/>
  <c r="V35" i="4"/>
  <c r="U30" i="25"/>
  <c r="U32" i="23"/>
  <c r="U37" i="4"/>
  <c r="V37" i="4"/>
  <c r="U38" i="4"/>
  <c r="V38" i="4"/>
  <c r="U39" i="4"/>
  <c r="U32" i="25"/>
  <c r="U30" i="26"/>
  <c r="U31" i="26"/>
  <c r="V39" i="4"/>
  <c r="U40" i="4"/>
  <c r="U34" i="27"/>
  <c r="U31" i="28"/>
  <c r="U24" i="4"/>
  <c r="U32" i="28"/>
  <c r="U25" i="4"/>
  <c r="U36" i="4"/>
  <c r="V36" i="4"/>
  <c r="U33" i="15"/>
  <c r="U35" i="19"/>
  <c r="U31" i="18"/>
  <c r="U30" i="19"/>
  <c r="U30" i="12"/>
  <c r="U30" i="13"/>
  <c r="U30" i="14"/>
  <c r="U29" i="11"/>
  <c r="U29" i="15"/>
  <c r="U31" i="16"/>
  <c r="U29" i="17"/>
  <c r="U31" i="9"/>
  <c r="U31" i="12"/>
  <c r="U31" i="19"/>
  <c r="U30" i="23"/>
  <c r="U30" i="15"/>
  <c r="U23" i="5"/>
  <c r="U31" i="13"/>
  <c r="U29" i="16"/>
  <c r="U33" i="21"/>
  <c r="U28" i="6"/>
  <c r="H40" i="6" s="1"/>
  <c r="U31" i="15"/>
  <c r="U34" i="21"/>
  <c r="U32" i="22"/>
  <c r="U24" i="5"/>
  <c r="U32" i="12"/>
  <c r="U33" i="19"/>
  <c r="U31" i="23"/>
  <c r="U33" i="22"/>
  <c r="U33" i="12"/>
  <c r="U32" i="15"/>
  <c r="U33" i="23"/>
  <c r="U31" i="24"/>
  <c r="U29" i="9"/>
  <c r="U30" i="16"/>
  <c r="U30" i="17"/>
  <c r="U32" i="24"/>
  <c r="U29" i="13"/>
  <c r="U29" i="10"/>
  <c r="H42" i="10" s="1"/>
  <c r="U29" i="18"/>
  <c r="U32" i="13"/>
  <c r="U32" i="9"/>
  <c r="U32" i="16"/>
  <c r="U31" i="17"/>
  <c r="U32" i="19"/>
  <c r="U29" i="20"/>
  <c r="U30" i="20"/>
  <c r="U35" i="22"/>
  <c r="U33" i="18"/>
  <c r="U22" i="5"/>
  <c r="U32" i="14"/>
  <c r="U30" i="11"/>
  <c r="U31" i="21"/>
  <c r="U33" i="14"/>
  <c r="U32" i="21"/>
  <c r="U30" i="18"/>
  <c r="U29" i="12"/>
  <c r="U29" i="14"/>
  <c r="U29" i="19"/>
  <c r="U33" i="17"/>
  <c r="U33" i="13"/>
  <c r="S15" i="8"/>
  <c r="T13" i="8"/>
  <c r="W15" i="8"/>
  <c r="AF10" i="8" s="1"/>
  <c r="G75" i="3"/>
  <c r="H75" i="3" s="1"/>
  <c r="G91" i="3"/>
  <c r="G61" i="3"/>
  <c r="H61" i="3" s="1"/>
  <c r="G73" i="3"/>
  <c r="H73" i="3" s="1"/>
  <c r="G63" i="3"/>
  <c r="H63" i="3" s="1"/>
  <c r="G62" i="3"/>
  <c r="G58" i="3"/>
  <c r="H58" i="3" s="1"/>
  <c r="G59" i="3"/>
  <c r="H59" i="3" s="1"/>
  <c r="G48" i="3"/>
  <c r="H48" i="3" s="1"/>
  <c r="H72" i="3"/>
  <c r="H66" i="3"/>
  <c r="H64" i="3"/>
  <c r="H65" i="3"/>
  <c r="G47" i="3"/>
  <c r="U38" i="33" l="1"/>
  <c r="H46" i="33" s="1"/>
  <c r="U38" i="31"/>
  <c r="H46" i="31" s="1"/>
  <c r="I40" i="6"/>
  <c r="P40" i="6"/>
  <c r="I42" i="10"/>
  <c r="P42" i="10"/>
  <c r="H45" i="34"/>
  <c r="M45" i="34" s="1"/>
  <c r="I45" i="34"/>
  <c r="I49" i="34" s="1"/>
  <c r="F30" i="8" s="1"/>
  <c r="U39" i="32"/>
  <c r="H47" i="32" s="1"/>
  <c r="U37" i="28"/>
  <c r="H45" i="28" s="1"/>
  <c r="U38" i="29"/>
  <c r="H46" i="29" s="1"/>
  <c r="U39" i="30"/>
  <c r="H47" i="30" s="1"/>
  <c r="H42" i="14"/>
  <c r="H43" i="19"/>
  <c r="U37" i="27"/>
  <c r="H45" i="27" s="1"/>
  <c r="V40" i="4"/>
  <c r="V42" i="4" s="1"/>
  <c r="U33" i="25" s="1"/>
  <c r="H44" i="25" s="1"/>
  <c r="U33" i="26"/>
  <c r="H44" i="26" s="1"/>
  <c r="U41" i="4"/>
  <c r="H42" i="12"/>
  <c r="U34" i="12"/>
  <c r="H42" i="13"/>
  <c r="H43" i="18"/>
  <c r="H42" i="15"/>
  <c r="H44" i="23"/>
  <c r="H42" i="16"/>
  <c r="H42" i="9"/>
  <c r="H43" i="20"/>
  <c r="H42" i="11"/>
  <c r="H42" i="17"/>
  <c r="H46" i="22"/>
  <c r="H44" i="24"/>
  <c r="H45" i="21"/>
  <c r="AF7" i="8"/>
  <c r="AG7" i="8" s="1"/>
  <c r="S17" i="8"/>
  <c r="W17" i="8"/>
  <c r="G81" i="3"/>
  <c r="M9" i="3" s="1"/>
  <c r="M10" i="3"/>
  <c r="H91" i="3"/>
  <c r="H62" i="3"/>
  <c r="G67" i="3"/>
  <c r="H47" i="3"/>
  <c r="M6" i="3"/>
  <c r="I46" i="31" l="1"/>
  <c r="I51" i="31" s="1"/>
  <c r="M46" i="31"/>
  <c r="I46" i="33"/>
  <c r="I51" i="33" s="1"/>
  <c r="F29" i="8" s="1"/>
  <c r="M46" i="33"/>
  <c r="I47" i="32"/>
  <c r="I51" i="32" s="1"/>
  <c r="M47" i="32"/>
  <c r="I45" i="28"/>
  <c r="I47" i="28" s="1"/>
  <c r="M45" i="28"/>
  <c r="I46" i="29"/>
  <c r="I49" i="29" s="1"/>
  <c r="M46" i="29"/>
  <c r="I47" i="30"/>
  <c r="I51" i="30" s="1"/>
  <c r="M47" i="30"/>
  <c r="I42" i="14"/>
  <c r="M42" i="14"/>
  <c r="I43" i="19"/>
  <c r="M43" i="19"/>
  <c r="I45" i="27"/>
  <c r="I47" i="27" s="1"/>
  <c r="G23" i="8" s="1"/>
  <c r="M45" i="27"/>
  <c r="I44" i="25"/>
  <c r="I46" i="25" s="1"/>
  <c r="G21" i="8" s="1"/>
  <c r="M44" i="25"/>
  <c r="I44" i="26"/>
  <c r="I46" i="26" s="1"/>
  <c r="G22" i="8" s="1"/>
  <c r="H21" i="8" s="1"/>
  <c r="M44" i="26"/>
  <c r="I42" i="12"/>
  <c r="M42" i="12"/>
  <c r="I42" i="13"/>
  <c r="M42" i="13"/>
  <c r="I43" i="18"/>
  <c r="M43" i="18"/>
  <c r="I42" i="15"/>
  <c r="M42" i="15"/>
  <c r="I44" i="23"/>
  <c r="I46" i="23" s="1"/>
  <c r="M44" i="23"/>
  <c r="I42" i="16"/>
  <c r="M42" i="16"/>
  <c r="I42" i="9"/>
  <c r="P42" i="9"/>
  <c r="I43" i="20"/>
  <c r="M43" i="20"/>
  <c r="I42" i="11"/>
  <c r="M42" i="11"/>
  <c r="I42" i="17"/>
  <c r="M42" i="17"/>
  <c r="I46" i="22"/>
  <c r="I48" i="22" s="1"/>
  <c r="M46" i="22"/>
  <c r="I44" i="24"/>
  <c r="I46" i="24" s="1"/>
  <c r="M44" i="24"/>
  <c r="I45" i="21"/>
  <c r="I47" i="21" s="1"/>
  <c r="M45" i="21"/>
  <c r="S19" i="8"/>
  <c r="AF22" i="8"/>
  <c r="AG22" i="8" s="1"/>
  <c r="AA20" i="8"/>
  <c r="M21" i="8"/>
  <c r="AB20" i="8"/>
  <c r="M22" i="8"/>
  <c r="M23" i="8"/>
  <c r="H23" i="8"/>
  <c r="AA21" i="8"/>
  <c r="AB11" i="8"/>
  <c r="W19" i="8"/>
  <c r="H81" i="3"/>
  <c r="M8" i="3"/>
  <c r="H67" i="3"/>
  <c r="X22" i="8" l="1"/>
  <c r="X21" i="8"/>
  <c r="G17" i="55"/>
  <c r="G18" i="55"/>
  <c r="G16" i="55"/>
  <c r="G11" i="55"/>
  <c r="G15" i="55"/>
  <c r="G14" i="55"/>
  <c r="G8" i="55"/>
  <c r="G9" i="55"/>
  <c r="G13" i="55"/>
  <c r="G6" i="55"/>
  <c r="G7" i="55"/>
  <c r="G10" i="55"/>
  <c r="G12" i="55"/>
  <c r="S21" i="8"/>
  <c r="AA26" i="8"/>
  <c r="AB26" i="8" s="1"/>
  <c r="X23" i="8"/>
  <c r="X24" i="8"/>
  <c r="W21" i="8"/>
  <c r="T18" i="4"/>
  <c r="T3" i="4"/>
  <c r="T14" i="4"/>
  <c r="T11" i="4"/>
  <c r="T6" i="4"/>
  <c r="T13" i="4"/>
  <c r="T9" i="4"/>
  <c r="U9" i="4" s="1"/>
  <c r="T16" i="4"/>
  <c r="V16" i="4" s="1"/>
  <c r="T12" i="4"/>
  <c r="T5" i="4"/>
  <c r="U22" i="45" s="1"/>
  <c r="T10" i="4"/>
  <c r="T15" i="4"/>
  <c r="T7" i="4"/>
  <c r="T4" i="4"/>
  <c r="T17" i="4"/>
  <c r="U21" i="39" s="1"/>
  <c r="T19" i="4"/>
  <c r="T8" i="4"/>
  <c r="U23" i="48" l="1"/>
  <c r="U26" i="48" s="1"/>
  <c r="H53" i="48" s="1"/>
  <c r="U23" i="46"/>
  <c r="U26" i="46" s="1"/>
  <c r="H53" i="46" s="1"/>
  <c r="U23" i="45"/>
  <c r="U22" i="57"/>
  <c r="U25" i="57" s="1"/>
  <c r="H52" i="57" s="1"/>
  <c r="U25" i="51"/>
  <c r="U21" i="45"/>
  <c r="U23" i="56"/>
  <c r="U27" i="56" s="1"/>
  <c r="H54" i="56" s="1"/>
  <c r="U23" i="54"/>
  <c r="U25" i="53"/>
  <c r="U27" i="53" s="1"/>
  <c r="H54" i="53" s="1"/>
  <c r="U8" i="4"/>
  <c r="U22" i="54"/>
  <c r="U25" i="54" s="1"/>
  <c r="H52" i="54" s="1"/>
  <c r="U24" i="52"/>
  <c r="U23" i="52"/>
  <c r="U22" i="52"/>
  <c r="U25" i="52" s="1"/>
  <c r="H52" i="52" s="1"/>
  <c r="U23" i="51"/>
  <c r="U27" i="51" s="1"/>
  <c r="H54" i="51" s="1"/>
  <c r="T21" i="8"/>
  <c r="S23" i="8"/>
  <c r="U24" i="40"/>
  <c r="U23" i="39"/>
  <c r="U22" i="34"/>
  <c r="U21" i="42"/>
  <c r="U22" i="36"/>
  <c r="U24" i="35"/>
  <c r="U27" i="35" s="1"/>
  <c r="H53" i="35" s="1"/>
  <c r="U24" i="44"/>
  <c r="U27" i="44" s="1"/>
  <c r="H54" i="44" s="1"/>
  <c r="U24" i="39"/>
  <c r="U21" i="38"/>
  <c r="U30" i="38" s="1"/>
  <c r="H57" i="38" s="1"/>
  <c r="U23" i="33"/>
  <c r="U21" i="28"/>
  <c r="U22" i="43"/>
  <c r="U22" i="37"/>
  <c r="U23" i="32"/>
  <c r="U23" i="37"/>
  <c r="U23" i="28"/>
  <c r="U25" i="43"/>
  <c r="U24" i="37"/>
  <c r="U22" i="33"/>
  <c r="U23" i="40"/>
  <c r="U22" i="39"/>
  <c r="U23" i="34"/>
  <c r="U26" i="32"/>
  <c r="U21" i="43"/>
  <c r="U21" i="37"/>
  <c r="U21" i="40"/>
  <c r="U23" i="43"/>
  <c r="U22" i="40"/>
  <c r="U23" i="36"/>
  <c r="U21" i="41"/>
  <c r="U31" i="41" s="1"/>
  <c r="H58" i="41" s="1"/>
  <c r="U26" i="40"/>
  <c r="U25" i="34"/>
  <c r="V18" i="4"/>
  <c r="U27" i="29"/>
  <c r="U21" i="26"/>
  <c r="U26" i="29"/>
  <c r="U21" i="30"/>
  <c r="U24" i="25"/>
  <c r="U22" i="26"/>
  <c r="U24" i="33"/>
  <c r="U24" i="31"/>
  <c r="U21" i="32"/>
  <c r="U21" i="27"/>
  <c r="U22" i="27"/>
  <c r="U24" i="29"/>
  <c r="U22" i="29"/>
  <c r="U21" i="25"/>
  <c r="V14" i="4"/>
  <c r="U24" i="28"/>
  <c r="U24" i="32"/>
  <c r="U24" i="30"/>
  <c r="U22" i="28"/>
  <c r="U24" i="27"/>
  <c r="U23" i="26"/>
  <c r="U22" i="25"/>
  <c r="U21" i="29"/>
  <c r="V15" i="4"/>
  <c r="U21" i="33"/>
  <c r="U25" i="27"/>
  <c r="U21" i="31"/>
  <c r="U25" i="32"/>
  <c r="U22" i="32"/>
  <c r="U23" i="27"/>
  <c r="U25" i="29"/>
  <c r="U23" i="25"/>
  <c r="V17" i="4"/>
  <c r="U25" i="30"/>
  <c r="U24" i="26"/>
  <c r="U27" i="3"/>
  <c r="U21" i="16"/>
  <c r="U18" i="4"/>
  <c r="U23" i="13"/>
  <c r="U24" i="15"/>
  <c r="U22" i="9"/>
  <c r="U25" i="21"/>
  <c r="U21" i="22"/>
  <c r="U3" i="4"/>
  <c r="U25" i="3"/>
  <c r="U23" i="6"/>
  <c r="U21" i="10"/>
  <c r="U21" i="17"/>
  <c r="U14" i="4"/>
  <c r="U22" i="12"/>
  <c r="U22" i="20"/>
  <c r="H44" i="20" s="1"/>
  <c r="U22" i="6"/>
  <c r="U21" i="21"/>
  <c r="U11" i="4"/>
  <c r="U30" i="5"/>
  <c r="U24" i="11"/>
  <c r="U22" i="24"/>
  <c r="U23" i="19"/>
  <c r="U23" i="18"/>
  <c r="U22" i="3"/>
  <c r="U6" i="4"/>
  <c r="U23" i="15"/>
  <c r="U23" i="24"/>
  <c r="U21" i="6"/>
  <c r="U32" i="5"/>
  <c r="U31" i="5"/>
  <c r="U13" i="4"/>
  <c r="U21" i="19"/>
  <c r="U25" i="11"/>
  <c r="U24" i="18"/>
  <c r="U22" i="19"/>
  <c r="U16" i="4"/>
  <c r="U12" i="4"/>
  <c r="U22" i="11"/>
  <c r="U23" i="12"/>
  <c r="U23" i="9"/>
  <c r="U21" i="9"/>
  <c r="U5" i="4"/>
  <c r="U23" i="23"/>
  <c r="U22" i="22"/>
  <c r="U21" i="18"/>
  <c r="U22" i="16"/>
  <c r="U24" i="21"/>
  <c r="U21" i="14"/>
  <c r="U10" i="4"/>
  <c r="U21" i="24"/>
  <c r="U15" i="4"/>
  <c r="U7" i="4"/>
  <c r="U21" i="12"/>
  <c r="U22" i="18"/>
  <c r="U24" i="23"/>
  <c r="U22" i="15"/>
  <c r="U23" i="11"/>
  <c r="U22" i="23"/>
  <c r="U4" i="4"/>
  <c r="U22" i="14"/>
  <c r="U21" i="11"/>
  <c r="U23" i="16"/>
  <c r="U22" i="10"/>
  <c r="U22" i="17"/>
  <c r="U17" i="4"/>
  <c r="U26" i="13"/>
  <c r="U23" i="21"/>
  <c r="U26" i="14"/>
  <c r="U19" i="4"/>
  <c r="U23" i="22"/>
  <c r="U25" i="12"/>
  <c r="W23" i="8"/>
  <c r="U23" i="3"/>
  <c r="U24" i="3"/>
  <c r="U30" i="37" l="1"/>
  <c r="H57" i="37" s="1"/>
  <c r="U26" i="45"/>
  <c r="H53" i="45" s="1"/>
  <c r="M53" i="48"/>
  <c r="I53" i="48"/>
  <c r="I55" i="48" s="1"/>
  <c r="E44" i="8" s="1"/>
  <c r="G44" i="8" s="1"/>
  <c r="M53" i="46"/>
  <c r="M56" i="46" s="1"/>
  <c r="I53" i="46"/>
  <c r="I55" i="46" s="1"/>
  <c r="E42" i="8" s="1"/>
  <c r="G42" i="8" s="1"/>
  <c r="I52" i="57"/>
  <c r="I54" i="57" s="1"/>
  <c r="E52" i="8" s="1"/>
  <c r="G52" i="8" s="1"/>
  <c r="AB53" i="8" s="1"/>
  <c r="M52" i="57"/>
  <c r="M54" i="56"/>
  <c r="M57" i="56" s="1"/>
  <c r="I54" i="56"/>
  <c r="I56" i="56" s="1"/>
  <c r="E51" i="8" s="1"/>
  <c r="C29" i="55" s="1"/>
  <c r="I54" i="53"/>
  <c r="I56" i="53" s="1"/>
  <c r="E49" i="8" s="1"/>
  <c r="M54" i="53"/>
  <c r="M52" i="54"/>
  <c r="M55" i="54" s="1"/>
  <c r="I52" i="54"/>
  <c r="I54" i="54" s="1"/>
  <c r="E50" i="8" s="1"/>
  <c r="G50" i="8" s="1"/>
  <c r="M50" i="8" s="1"/>
  <c r="M52" i="52"/>
  <c r="M55" i="52" s="1"/>
  <c r="I52" i="52"/>
  <c r="I54" i="52" s="1"/>
  <c r="M54" i="51"/>
  <c r="I54" i="51"/>
  <c r="I56" i="51" s="1"/>
  <c r="E47" i="8" s="1"/>
  <c r="U30" i="42"/>
  <c r="H57" i="42" s="1"/>
  <c r="U28" i="28"/>
  <c r="H49" i="28" s="1"/>
  <c r="U27" i="33"/>
  <c r="H53" i="33" s="1"/>
  <c r="U28" i="34"/>
  <c r="H51" i="34" s="1"/>
  <c r="U27" i="36"/>
  <c r="H54" i="36" s="1"/>
  <c r="I53" i="35"/>
  <c r="I55" i="35" s="1"/>
  <c r="E31" i="8" s="1"/>
  <c r="G31" i="8" s="1"/>
  <c r="M53" i="35"/>
  <c r="I54" i="44"/>
  <c r="I56" i="44" s="1"/>
  <c r="E40" i="8" s="1"/>
  <c r="G40" i="8" s="1"/>
  <c r="M54" i="44"/>
  <c r="M57" i="44" s="1"/>
  <c r="I57" i="38"/>
  <c r="I59" i="38" s="1"/>
  <c r="E34" i="8" s="1"/>
  <c r="G34" i="8" s="1"/>
  <c r="M57" i="38"/>
  <c r="M60" i="38" s="1"/>
  <c r="I58" i="41"/>
  <c r="I60" i="41" s="1"/>
  <c r="E37" i="8" s="1"/>
  <c r="G37" i="8" s="1"/>
  <c r="AA35" i="8" s="1"/>
  <c r="M58" i="41"/>
  <c r="I44" i="20"/>
  <c r="G16" i="8" s="1"/>
  <c r="M44" i="20"/>
  <c r="M48" i="20" s="1"/>
  <c r="T23" i="8"/>
  <c r="S25" i="8"/>
  <c r="S27" i="8" s="1"/>
  <c r="M37" i="8"/>
  <c r="U30" i="39"/>
  <c r="H57" i="39" s="1"/>
  <c r="U31" i="43"/>
  <c r="H58" i="43" s="1"/>
  <c r="U30" i="40"/>
  <c r="H57" i="40" s="1"/>
  <c r="V19" i="4"/>
  <c r="AA9" i="8"/>
  <c r="M16" i="8"/>
  <c r="U28" i="27"/>
  <c r="H49" i="27" s="1"/>
  <c r="U28" i="29"/>
  <c r="H51" i="29" s="1"/>
  <c r="U27" i="31"/>
  <c r="H53" i="31" s="1"/>
  <c r="H43" i="13"/>
  <c r="U28" i="30"/>
  <c r="H53" i="30" s="1"/>
  <c r="U28" i="32"/>
  <c r="H53" i="32" s="1"/>
  <c r="U27" i="25"/>
  <c r="H48" i="25" s="1"/>
  <c r="M48" i="25" s="1"/>
  <c r="U27" i="26"/>
  <c r="H48" i="26" s="1"/>
  <c r="U26" i="23"/>
  <c r="H50" i="22"/>
  <c r="H43" i="16"/>
  <c r="U26" i="24"/>
  <c r="H48" i="24" s="1"/>
  <c r="U26" i="11"/>
  <c r="H43" i="11" s="1"/>
  <c r="H43" i="12"/>
  <c r="U20" i="4"/>
  <c r="H43" i="10"/>
  <c r="H43" i="17"/>
  <c r="H49" i="21"/>
  <c r="H43" i="5"/>
  <c r="H44" i="19"/>
  <c r="H43" i="9"/>
  <c r="H43" i="14"/>
  <c r="H48" i="23"/>
  <c r="H44" i="18"/>
  <c r="H43" i="15"/>
  <c r="W25" i="8"/>
  <c r="M11" i="6"/>
  <c r="H39" i="6"/>
  <c r="H42" i="5"/>
  <c r="M11" i="5"/>
  <c r="H51" i="3"/>
  <c r="I51" i="3" s="1"/>
  <c r="H52" i="3"/>
  <c r="I52" i="3" s="1"/>
  <c r="H53" i="3"/>
  <c r="H50" i="3"/>
  <c r="I50" i="3" s="1"/>
  <c r="AB36" i="8" l="1"/>
  <c r="M40" i="8"/>
  <c r="I57" i="37"/>
  <c r="I60" i="37" s="1"/>
  <c r="E33" i="8" s="1"/>
  <c r="G33" i="8" s="1"/>
  <c r="M57" i="37"/>
  <c r="I53" i="45"/>
  <c r="I55" i="45" s="1"/>
  <c r="E41" i="8" s="1"/>
  <c r="G41" i="8" s="1"/>
  <c r="M53" i="45"/>
  <c r="AA32" i="8"/>
  <c r="M31" i="8"/>
  <c r="D25" i="55"/>
  <c r="M56" i="48"/>
  <c r="H43" i="8"/>
  <c r="X44" i="8" s="1"/>
  <c r="M44" i="8"/>
  <c r="AB38" i="8"/>
  <c r="M42" i="8"/>
  <c r="AB37" i="8"/>
  <c r="M52" i="8"/>
  <c r="M55" i="57"/>
  <c r="D29" i="55"/>
  <c r="G51" i="8"/>
  <c r="J29" i="55"/>
  <c r="G49" i="8"/>
  <c r="M49" i="8" s="1"/>
  <c r="C28" i="55"/>
  <c r="J28" i="55" s="1"/>
  <c r="D28" i="55"/>
  <c r="M57" i="53"/>
  <c r="M57" i="51"/>
  <c r="D27" i="55"/>
  <c r="G47" i="8"/>
  <c r="C27" i="55"/>
  <c r="M57" i="42"/>
  <c r="I57" i="42"/>
  <c r="I59" i="42" s="1"/>
  <c r="E38" i="8" s="1"/>
  <c r="G38" i="8" s="1"/>
  <c r="M49" i="28"/>
  <c r="M54" i="28" s="1"/>
  <c r="I49" i="28"/>
  <c r="I51" i="28" s="1"/>
  <c r="M51" i="34"/>
  <c r="M56" i="34" s="1"/>
  <c r="I51" i="34"/>
  <c r="I53" i="34" s="1"/>
  <c r="E30" i="8" s="1"/>
  <c r="G30" i="8" s="1"/>
  <c r="M54" i="36"/>
  <c r="M57" i="36" s="1"/>
  <c r="I54" i="36"/>
  <c r="I56" i="36" s="1"/>
  <c r="E32" i="8" s="1"/>
  <c r="G32" i="8" s="1"/>
  <c r="M57" i="35"/>
  <c r="D19" i="55"/>
  <c r="AB33" i="8"/>
  <c r="M34" i="8"/>
  <c r="M61" i="41"/>
  <c r="M53" i="33"/>
  <c r="I53" i="33"/>
  <c r="I55" i="33" s="1"/>
  <c r="E29" i="8" s="1"/>
  <c r="G29" i="8" s="1"/>
  <c r="I57" i="39"/>
  <c r="I60" i="39" s="1"/>
  <c r="E35" i="8" s="1"/>
  <c r="G35" i="8" s="1"/>
  <c r="M57" i="39"/>
  <c r="I58" i="43"/>
  <c r="I60" i="43" s="1"/>
  <c r="E39" i="8" s="1"/>
  <c r="G39" i="8" s="1"/>
  <c r="M58" i="43"/>
  <c r="I57" i="40"/>
  <c r="I59" i="40" s="1"/>
  <c r="E36" i="8" s="1"/>
  <c r="G36" i="8" s="1"/>
  <c r="M57" i="40"/>
  <c r="M60" i="40" s="1"/>
  <c r="I49" i="27"/>
  <c r="I51" i="27" s="1"/>
  <c r="M49" i="27"/>
  <c r="I51" i="29"/>
  <c r="I53" i="29" s="1"/>
  <c r="G25" i="8" s="1"/>
  <c r="M51" i="29"/>
  <c r="I53" i="31"/>
  <c r="I55" i="31" s="1"/>
  <c r="M53" i="31"/>
  <c r="I43" i="13"/>
  <c r="G9" i="8" s="1"/>
  <c r="M43" i="13"/>
  <c r="I53" i="30"/>
  <c r="I55" i="30" s="1"/>
  <c r="M53" i="30"/>
  <c r="M58" i="30" s="1"/>
  <c r="I53" i="32"/>
  <c r="I55" i="32" s="1"/>
  <c r="M53" i="32"/>
  <c r="M58" i="32" s="1"/>
  <c r="M53" i="25"/>
  <c r="I48" i="26"/>
  <c r="I50" i="26" s="1"/>
  <c r="M48" i="26"/>
  <c r="I50" i="22"/>
  <c r="I52" i="22" s="1"/>
  <c r="G18" i="8" s="1"/>
  <c r="M50" i="22"/>
  <c r="M55" i="22" s="1"/>
  <c r="I43" i="16"/>
  <c r="M43" i="16"/>
  <c r="M47" i="16" s="1"/>
  <c r="I48" i="24"/>
  <c r="I50" i="24" s="1"/>
  <c r="G20" i="8" s="1"/>
  <c r="M48" i="24"/>
  <c r="M53" i="24" s="1"/>
  <c r="I43" i="11"/>
  <c r="M43" i="11"/>
  <c r="I43" i="12"/>
  <c r="G8" i="8" s="1"/>
  <c r="M43" i="12"/>
  <c r="M45" i="12" s="1"/>
  <c r="I43" i="10"/>
  <c r="P43" i="10"/>
  <c r="P44" i="10" s="1"/>
  <c r="I43" i="17"/>
  <c r="M43" i="17"/>
  <c r="I49" i="21"/>
  <c r="I51" i="21" s="1"/>
  <c r="M49" i="21"/>
  <c r="I43" i="5"/>
  <c r="P43" i="5"/>
  <c r="D5" i="55" s="1"/>
  <c r="I44" i="19"/>
  <c r="G15" i="8" s="1"/>
  <c r="M44" i="19"/>
  <c r="I43" i="9"/>
  <c r="P43" i="9"/>
  <c r="I43" i="14"/>
  <c r="M43" i="14"/>
  <c r="M46" i="14" s="1"/>
  <c r="I48" i="23"/>
  <c r="I50" i="23" s="1"/>
  <c r="G19" i="8" s="1"/>
  <c r="M48" i="23"/>
  <c r="I44" i="18"/>
  <c r="M44" i="18"/>
  <c r="M48" i="18" s="1"/>
  <c r="I43" i="15"/>
  <c r="M43" i="15"/>
  <c r="I39" i="6"/>
  <c r="G4" i="8" s="1"/>
  <c r="AA3" i="8" s="1"/>
  <c r="P39" i="6"/>
  <c r="P41" i="6" s="1"/>
  <c r="P46" i="6" s="1"/>
  <c r="I42" i="5"/>
  <c r="P42" i="5"/>
  <c r="T27" i="8"/>
  <c r="S29" i="8"/>
  <c r="S31" i="8" s="1"/>
  <c r="M25" i="8"/>
  <c r="AA22" i="8"/>
  <c r="H25" i="8"/>
  <c r="X25" i="8"/>
  <c r="AB6" i="8"/>
  <c r="M9" i="8"/>
  <c r="H9" i="8"/>
  <c r="X9" i="8"/>
  <c r="AA5" i="8"/>
  <c r="AA10" i="8" s="1"/>
  <c r="M8" i="8"/>
  <c r="H7" i="8"/>
  <c r="AB9" i="8"/>
  <c r="M15" i="8"/>
  <c r="H15" i="8"/>
  <c r="X15" i="8"/>
  <c r="G17" i="8"/>
  <c r="M19" i="8"/>
  <c r="AA19" i="8"/>
  <c r="H19" i="8"/>
  <c r="X20" i="8" s="1"/>
  <c r="M4" i="8"/>
  <c r="W27" i="8"/>
  <c r="G3" i="8"/>
  <c r="AB3" i="8" s="1"/>
  <c r="AB10" i="8" s="1"/>
  <c r="I53" i="3"/>
  <c r="M11" i="3"/>
  <c r="M18" i="8" l="1"/>
  <c r="AB18" i="8"/>
  <c r="M33" i="8"/>
  <c r="H33" i="8"/>
  <c r="AA33" i="8"/>
  <c r="D20" i="55"/>
  <c r="M60" i="37"/>
  <c r="H41" i="8"/>
  <c r="AA37" i="8"/>
  <c r="M41" i="8"/>
  <c r="D24" i="55"/>
  <c r="M56" i="45"/>
  <c r="AA34" i="8"/>
  <c r="M35" i="8"/>
  <c r="H35" i="8"/>
  <c r="AA36" i="8"/>
  <c r="M39" i="8"/>
  <c r="H39" i="8"/>
  <c r="X39" i="8" s="1"/>
  <c r="AB34" i="8"/>
  <c r="M36" i="8"/>
  <c r="M53" i="26"/>
  <c r="D14" i="55"/>
  <c r="X43" i="8"/>
  <c r="H51" i="8"/>
  <c r="M51" i="8"/>
  <c r="H49" i="8"/>
  <c r="X49" i="8" s="1"/>
  <c r="H47" i="8"/>
  <c r="X47" i="8" s="1"/>
  <c r="M47" i="8"/>
  <c r="J27" i="55"/>
  <c r="H37" i="8"/>
  <c r="X37" i="8" s="1"/>
  <c r="X38" i="8"/>
  <c r="M38" i="8"/>
  <c r="AB35" i="8"/>
  <c r="AB24" i="8"/>
  <c r="M30" i="8"/>
  <c r="H31" i="8"/>
  <c r="M32" i="8"/>
  <c r="AB32" i="8"/>
  <c r="AB39" i="8" s="1"/>
  <c r="M57" i="33"/>
  <c r="D18" i="55"/>
  <c r="M60" i="39"/>
  <c r="D21" i="55"/>
  <c r="M61" i="43"/>
  <c r="D23" i="55"/>
  <c r="M54" i="27"/>
  <c r="D15" i="55"/>
  <c r="M55" i="29"/>
  <c r="D16" i="55"/>
  <c r="M57" i="31"/>
  <c r="D17" i="55"/>
  <c r="M47" i="13"/>
  <c r="D8" i="55"/>
  <c r="AB19" i="8"/>
  <c r="AB25" i="8" s="1"/>
  <c r="AB27" i="8" s="1"/>
  <c r="AB28" i="8" s="1"/>
  <c r="M20" i="8"/>
  <c r="M45" i="11"/>
  <c r="D7" i="55"/>
  <c r="M47" i="17"/>
  <c r="D10" i="55"/>
  <c r="M54" i="21"/>
  <c r="D12" i="55"/>
  <c r="M48" i="19"/>
  <c r="D11" i="55"/>
  <c r="P44" i="9"/>
  <c r="D6" i="55"/>
  <c r="M53" i="23"/>
  <c r="D13" i="55"/>
  <c r="M47" i="15"/>
  <c r="D9" i="55"/>
  <c r="P44" i="5"/>
  <c r="G5" i="55"/>
  <c r="G36" i="55" s="1"/>
  <c r="AA39" i="8"/>
  <c r="X42" i="8"/>
  <c r="X41" i="8"/>
  <c r="M60" i="42"/>
  <c r="D22" i="55"/>
  <c r="M29" i="8"/>
  <c r="H29" i="8"/>
  <c r="AA24" i="8"/>
  <c r="X40" i="8"/>
  <c r="X26" i="8"/>
  <c r="T25" i="8"/>
  <c r="T9" i="8"/>
  <c r="X10" i="8"/>
  <c r="T7" i="8"/>
  <c r="X7" i="8"/>
  <c r="X8" i="8"/>
  <c r="X16" i="8"/>
  <c r="T15" i="8"/>
  <c r="S33" i="8"/>
  <c r="T19" i="8"/>
  <c r="X19" i="8"/>
  <c r="H17" i="8"/>
  <c r="M17" i="8"/>
  <c r="AA18" i="8"/>
  <c r="M3" i="8"/>
  <c r="H3" i="8"/>
  <c r="I3" i="8" s="1"/>
  <c r="I5" i="8" s="1"/>
  <c r="I7" i="8" s="1"/>
  <c r="I9" i="8" s="1"/>
  <c r="I11" i="8" s="1"/>
  <c r="I13" i="8" s="1"/>
  <c r="I15" i="8" s="1"/>
  <c r="W29" i="8"/>
  <c r="AF25" i="8" s="1"/>
  <c r="X51" i="8" l="1"/>
  <c r="X34" i="8"/>
  <c r="X33" i="8"/>
  <c r="D36" i="55"/>
  <c r="X35" i="8"/>
  <c r="X36" i="8"/>
  <c r="T31" i="8"/>
  <c r="X32" i="8"/>
  <c r="X52" i="8"/>
  <c r="X50" i="8"/>
  <c r="X48" i="8"/>
  <c r="AF33" i="8"/>
  <c r="AF34" i="8" s="1"/>
  <c r="AF35" i="8" s="1"/>
  <c r="X31" i="8"/>
  <c r="AA25" i="8"/>
  <c r="AA27" i="8" s="1"/>
  <c r="AA28" i="8" s="1"/>
  <c r="AC28" i="8" s="1"/>
  <c r="AJ19" i="8"/>
  <c r="X29" i="8"/>
  <c r="T29" i="8"/>
  <c r="X30" i="8"/>
  <c r="T33" i="8"/>
  <c r="S35" i="8"/>
  <c r="I17" i="8"/>
  <c r="I19" i="8" s="1"/>
  <c r="I21" i="8" s="1"/>
  <c r="I23" i="8" s="1"/>
  <c r="I25" i="8" s="1"/>
  <c r="I27" i="8" s="1"/>
  <c r="I29" i="8" s="1"/>
  <c r="I31" i="8" s="1"/>
  <c r="I33" i="8" s="1"/>
  <c r="I35" i="8" s="1"/>
  <c r="I37" i="8" s="1"/>
  <c r="I39" i="8" s="1"/>
  <c r="I41" i="8" s="1"/>
  <c r="I43" i="8" s="1"/>
  <c r="I45" i="8" s="1"/>
  <c r="I47" i="8" s="1"/>
  <c r="I49" i="8" s="1"/>
  <c r="I51" i="8" s="1"/>
  <c r="I53" i="8" s="1"/>
  <c r="I55" i="8" s="1"/>
  <c r="X17" i="8"/>
  <c r="X18" i="8"/>
  <c r="T17" i="8"/>
  <c r="AF19" i="8"/>
  <c r="X3" i="8"/>
  <c r="AF4" i="8"/>
  <c r="AG8" i="8" s="1"/>
  <c r="X4" i="8"/>
  <c r="T3" i="8"/>
  <c r="U3" i="8" s="1"/>
  <c r="W31" i="8"/>
  <c r="AJ18" i="8" l="1"/>
  <c r="AJ20" i="8" s="1"/>
  <c r="AJ22" i="8" s="1"/>
  <c r="S37" i="8"/>
  <c r="T35" i="8"/>
  <c r="AF20" i="8"/>
  <c r="AF21" i="8" s="1"/>
  <c r="AF23" i="8" s="1"/>
  <c r="AM19" i="8" s="1"/>
  <c r="AM20" i="8" s="1"/>
  <c r="AG23" i="8"/>
  <c r="AF5" i="8"/>
  <c r="AF6" i="8" s="1"/>
  <c r="AF8" i="8" s="1"/>
  <c r="Y3" i="8"/>
  <c r="U5" i="8"/>
  <c r="W33" i="8"/>
  <c r="S39" i="8" l="1"/>
  <c r="T37" i="8"/>
  <c r="T39" i="8"/>
  <c r="S41" i="8"/>
  <c r="AF27" i="8"/>
  <c r="AF26" i="8"/>
  <c r="AF12" i="8"/>
  <c r="AF11" i="8"/>
  <c r="Y5" i="8"/>
  <c r="U7" i="8"/>
  <c r="W35" i="8"/>
  <c r="AM22" i="8" l="1"/>
  <c r="T41" i="8"/>
  <c r="S43" i="8"/>
  <c r="U9" i="8"/>
  <c r="Y7" i="8"/>
  <c r="W37" i="8"/>
  <c r="T43" i="8" l="1"/>
  <c r="AF36" i="8"/>
  <c r="S45" i="8"/>
  <c r="AA40" i="8"/>
  <c r="U11" i="8"/>
  <c r="Y9" i="8"/>
  <c r="W39" i="8"/>
  <c r="AF37" i="8" l="1"/>
  <c r="AG36" i="8"/>
  <c r="AG37" i="8" s="1"/>
  <c r="T45" i="8"/>
  <c r="S47" i="8"/>
  <c r="AA41" i="8"/>
  <c r="AA42" i="8" s="1"/>
  <c r="AB40" i="8"/>
  <c r="U13" i="8"/>
  <c r="Y11" i="8"/>
  <c r="W41" i="8"/>
  <c r="AJ32" i="8" l="1"/>
  <c r="T47" i="8"/>
  <c r="S49" i="8"/>
  <c r="AB41" i="8"/>
  <c r="AB42" i="8" s="1"/>
  <c r="AC42" i="8" s="1"/>
  <c r="U15" i="8"/>
  <c r="Y13" i="8"/>
  <c r="W43" i="8"/>
  <c r="AF39" i="8" s="1"/>
  <c r="T49" i="8" l="1"/>
  <c r="S51" i="8"/>
  <c r="AJ33" i="8"/>
  <c r="AJ34" i="8" s="1"/>
  <c r="AJ36" i="8" s="1"/>
  <c r="AF41" i="8"/>
  <c r="AF40" i="8"/>
  <c r="U17" i="8"/>
  <c r="Y15" i="8"/>
  <c r="W45" i="8"/>
  <c r="T51" i="8" l="1"/>
  <c r="S53" i="8"/>
  <c r="U19" i="8"/>
  <c r="Y17" i="8"/>
  <c r="W47" i="8"/>
  <c r="T53" i="8" l="1"/>
  <c r="S55" i="8"/>
  <c r="U21" i="8"/>
  <c r="Y19" i="8"/>
  <c r="W49" i="8"/>
  <c r="T55" i="8" l="1"/>
  <c r="S57" i="8"/>
  <c r="U23" i="8"/>
  <c r="Y21" i="8"/>
  <c r="W51" i="8"/>
  <c r="S59" i="8" l="1"/>
  <c r="AF50" i="8"/>
  <c r="AG50" i="8" s="1"/>
  <c r="AA54" i="8"/>
  <c r="AB54" i="8" s="1"/>
  <c r="AB55" i="8" s="1"/>
  <c r="U25" i="8"/>
  <c r="Y23" i="8"/>
  <c r="W53" i="8"/>
  <c r="AA68" i="8" l="1"/>
  <c r="AF64" i="8"/>
  <c r="S61" i="8"/>
  <c r="T61" i="8" s="1"/>
  <c r="T59" i="8"/>
  <c r="AJ47" i="8"/>
  <c r="AB56" i="8"/>
  <c r="U27" i="8"/>
  <c r="Y25" i="8"/>
  <c r="W55" i="8"/>
  <c r="AA69" i="8" l="1"/>
  <c r="AB68" i="8"/>
  <c r="AB69" i="8" s="1"/>
  <c r="AF65" i="8"/>
  <c r="AG64" i="8"/>
  <c r="AG65" i="8" s="1"/>
  <c r="U29" i="8"/>
  <c r="Y27" i="8"/>
  <c r="W57" i="8"/>
  <c r="AJ60" i="8" l="1"/>
  <c r="AA70" i="8"/>
  <c r="AC70" i="8" s="1"/>
  <c r="AB70" i="8"/>
  <c r="AJ61" i="8"/>
  <c r="AF68" i="8"/>
  <c r="AF69" i="8"/>
  <c r="U31" i="8"/>
  <c r="Y29" i="8"/>
  <c r="W59" i="8"/>
  <c r="AJ62" i="8" l="1"/>
  <c r="AJ64" i="8" s="1"/>
  <c r="U33" i="8"/>
  <c r="Y31" i="8"/>
  <c r="W61" i="8"/>
  <c r="U35" i="8" l="1"/>
  <c r="Y33" i="8"/>
  <c r="W63" i="8"/>
  <c r="AA12" i="8"/>
  <c r="AA13" i="8" s="1"/>
  <c r="AB12" i="8"/>
  <c r="AB13" i="8" s="1"/>
  <c r="AC13" i="8" l="1"/>
  <c r="W65" i="8"/>
  <c r="W67" i="8" s="1"/>
  <c r="W69" i="8" s="1"/>
  <c r="W71" i="8" s="1"/>
  <c r="U37" i="8"/>
  <c r="Y35" i="8"/>
  <c r="AJ3" i="8"/>
  <c r="AJ4" i="8"/>
  <c r="U39" i="8" l="1"/>
  <c r="Y37" i="8"/>
  <c r="AJ5" i="8"/>
  <c r="AJ7" i="8" s="1"/>
  <c r="V20" i="4"/>
  <c r="I48" i="25"/>
  <c r="I50" i="25" s="1"/>
  <c r="U41" i="8" l="1"/>
  <c r="Y39" i="8"/>
  <c r="U43" i="8" l="1"/>
  <c r="Y41" i="8"/>
  <c r="Y43" i="8" l="1"/>
  <c r="U45" i="8"/>
  <c r="U47" i="8" l="1"/>
  <c r="Y45" i="8"/>
  <c r="Y47" i="8" l="1"/>
  <c r="U49" i="8"/>
  <c r="U51" i="8" l="1"/>
  <c r="Y49" i="8"/>
  <c r="U53" i="8" l="1"/>
  <c r="Y51" i="8"/>
  <c r="Y53" i="8" l="1"/>
  <c r="U55" i="8"/>
  <c r="Y55" i="8" s="1"/>
  <c r="I56" i="62" l="1"/>
  <c r="I57" i="62" s="1"/>
  <c r="E57" i="8" s="1"/>
  <c r="C32" i="55" l="1"/>
  <c r="G57" i="8"/>
  <c r="AA52" i="8" s="1"/>
  <c r="AA53" i="8" s="1"/>
  <c r="AA55" i="8" s="1"/>
  <c r="AA56" i="8" s="1"/>
  <c r="AC56" i="8" s="1"/>
  <c r="AJ46" i="8" l="1"/>
  <c r="AJ48" i="8" s="1"/>
  <c r="AJ50" i="8" s="1"/>
  <c r="C36" i="55"/>
  <c r="J32" i="55"/>
  <c r="J36" i="55" s="1"/>
  <c r="M57" i="8"/>
  <c r="H57" i="8"/>
  <c r="AF47" i="8" s="1"/>
  <c r="X57" i="8" l="1"/>
  <c r="T57" i="8"/>
  <c r="U57" i="8" s="1"/>
  <c r="I57" i="8"/>
  <c r="I59" i="8" s="1"/>
  <c r="X58" i="8"/>
  <c r="AF48" i="8" l="1"/>
  <c r="AF49" i="8" s="1"/>
  <c r="AF51" i="8" s="1"/>
  <c r="AG51" i="8"/>
  <c r="U59" i="8"/>
  <c r="Y57" i="8"/>
  <c r="AF55" i="8" l="1"/>
  <c r="AF54" i="8"/>
  <c r="U61" i="8"/>
  <c r="Y59" i="8"/>
  <c r="U63" i="8" l="1"/>
  <c r="U65" i="8" s="1"/>
  <c r="U67" i="8" s="1"/>
  <c r="U69" i="8" s="1"/>
  <c r="U71" i="8" s="1"/>
  <c r="Y61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H56" authorId="0" shapeId="0" xr:uid="{10D93A20-54AE-4A42-8ED5-CDFBC36F63D2}">
      <text>
        <r>
          <rPr>
            <b/>
            <sz val="9"/>
            <color indexed="81"/>
            <rFont val="Tahoma"/>
            <family val="2"/>
          </rPr>
          <t>Descuento de lipieza anterior 12 mll = 14,33% del acumulado hasta hoy.</t>
        </r>
      </text>
    </comment>
  </commentList>
</comments>
</file>

<file path=xl/sharedStrings.xml><?xml version="1.0" encoding="utf-8"?>
<sst xmlns="http://schemas.openxmlformats.org/spreadsheetml/2006/main" count="11960" uniqueCount="563">
  <si>
    <t>SISTEMA DE GESTION INTEGRADO</t>
  </si>
  <si>
    <t>REV. 0</t>
  </si>
  <si>
    <t>POSTURA</t>
  </si>
  <si>
    <t>NIVEL</t>
  </si>
  <si>
    <t>HORA TERMINO</t>
  </si>
  <si>
    <t>ACTIVIDAD</t>
  </si>
  <si>
    <t>Minería</t>
  </si>
  <si>
    <t>OO.CC</t>
  </si>
  <si>
    <t>Trabajadores</t>
  </si>
  <si>
    <t>Supervisores</t>
  </si>
  <si>
    <t>CODIGO:</t>
  </si>
  <si>
    <t>Electricistas</t>
  </si>
  <si>
    <t>Servicios</t>
  </si>
  <si>
    <t>Mecánicos</t>
  </si>
  <si>
    <t>Subcontratos</t>
  </si>
  <si>
    <t>DOTACION</t>
  </si>
  <si>
    <t>FECHA:</t>
  </si>
  <si>
    <t>REPORTE DIARIO DE ACTIVIDADES DEL TURNO</t>
  </si>
  <si>
    <t>Fecha:</t>
  </si>
  <si>
    <t>Turno:</t>
  </si>
  <si>
    <t>Jefe de Turno:</t>
  </si>
  <si>
    <t>Grupo:</t>
  </si>
  <si>
    <t>DISCIPLINA</t>
  </si>
  <si>
    <t>% Cumplimiento</t>
  </si>
  <si>
    <t>% AVANCE DE LA ACTIVIDAD</t>
  </si>
  <si>
    <t>Disciplina</t>
  </si>
  <si>
    <t>Montaje</t>
  </si>
  <si>
    <t>Cuadrillas</t>
  </si>
  <si>
    <t>C1</t>
  </si>
  <si>
    <t>EQUIPO ASIGNADO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</si>
  <si>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</si>
  <si>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</si>
  <si>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</si>
  <si>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</si>
  <si>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</si>
  <si>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</si>
  <si>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</si>
  <si>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</si>
  <si>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</si>
  <si>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</si>
  <si>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E1</t>
  </si>
  <si>
    <t>E2</t>
  </si>
  <si>
    <t>E3</t>
  </si>
  <si>
    <t>E4</t>
  </si>
  <si>
    <t>E5</t>
  </si>
  <si>
    <t>E6</t>
  </si>
  <si>
    <t>Horas Efectivas Cuadrillas Mineras (Promedio)</t>
  </si>
  <si>
    <t>Horas Efectivas Cuadrillas OO.CC (Promedio)</t>
  </si>
  <si>
    <t>Cantidad de Cuadrillas Mineras</t>
  </si>
  <si>
    <t>Cantidad de Cuadrillas OO.CC</t>
  </si>
  <si>
    <t>Actividad Cuadrilla</t>
  </si>
  <si>
    <t>Saneamiento</t>
  </si>
  <si>
    <t>Instalación de Malla</t>
  </si>
  <si>
    <t>Acondicionamiento de Malla</t>
  </si>
  <si>
    <t>Lechado de Pernos</t>
  </si>
  <si>
    <t>Carguío</t>
  </si>
  <si>
    <t>Acuñadura Mecanizada</t>
  </si>
  <si>
    <t>Perforación de Fortificación</t>
  </si>
  <si>
    <t>Fotogrametría</t>
  </si>
  <si>
    <t>Limpieza de Pata</t>
  </si>
  <si>
    <t>Marcación de Fortificación</t>
  </si>
  <si>
    <t>Pre Shotcrete</t>
  </si>
  <si>
    <t>Shotcrete</t>
  </si>
  <si>
    <t>Perforación de Avance</t>
  </si>
  <si>
    <t>KPI de Control Cuadrillas</t>
  </si>
  <si>
    <t>Jumbo 1</t>
  </si>
  <si>
    <t>Jumbo 2</t>
  </si>
  <si>
    <t>Jumbo 3</t>
  </si>
  <si>
    <t>Jumbo 4</t>
  </si>
  <si>
    <t>Jumbo 5</t>
  </si>
  <si>
    <t>Jumbo 6</t>
  </si>
  <si>
    <t>Scoop 1</t>
  </si>
  <si>
    <t>Scoop 2</t>
  </si>
  <si>
    <t>Scoop 3</t>
  </si>
  <si>
    <t>Scoop 4</t>
  </si>
  <si>
    <t>Scoop 5</t>
  </si>
  <si>
    <t>Scoop 6</t>
  </si>
  <si>
    <t>Roboshot 1</t>
  </si>
  <si>
    <t>Roboshot 2</t>
  </si>
  <si>
    <t>Roboshot 3</t>
  </si>
  <si>
    <t>Acuñador 1</t>
  </si>
  <si>
    <t>Equipos Jumbo</t>
  </si>
  <si>
    <t>Equipos LHD</t>
  </si>
  <si>
    <t>Equipos Mixer/Roboshot</t>
  </si>
  <si>
    <t>Equipos Adicionales</t>
  </si>
  <si>
    <t>MT1</t>
  </si>
  <si>
    <t>MT2</t>
  </si>
  <si>
    <t>MLB</t>
  </si>
  <si>
    <t>KPI de Control Jumbos</t>
  </si>
  <si>
    <t>Cantidad de Jumbos</t>
  </si>
  <si>
    <t>Meta Horas Efectivas</t>
  </si>
  <si>
    <t>Horas Efectivas Jumbos (Promedio)</t>
  </si>
  <si>
    <t>Promedio MLB/Turno</t>
  </si>
  <si>
    <t>Meta MLB Turno (Promedio)</t>
  </si>
  <si>
    <t>% Cumplimiento de Actividades</t>
  </si>
  <si>
    <t>Cantidad de Scoop</t>
  </si>
  <si>
    <t>M3</t>
  </si>
  <si>
    <t>Meta M3 Turno (Promedio)</t>
  </si>
  <si>
    <t>Horas Efectivas Scoop (Promedio)</t>
  </si>
  <si>
    <t>Promedio M3/Turno</t>
  </si>
  <si>
    <t>Retroexcavadora 1</t>
  </si>
  <si>
    <t>Marcación de Avance</t>
  </si>
  <si>
    <t>Total Ciclo</t>
  </si>
  <si>
    <t>% Peso</t>
  </si>
  <si>
    <t>Extracción de Marina Disparo</t>
  </si>
  <si>
    <t>Extracción de Marina Acopio</t>
  </si>
  <si>
    <t>Perforación Desquinche</t>
  </si>
  <si>
    <t>KPI de Control Scoop</t>
  </si>
  <si>
    <t>% Avance Ciclo</t>
  </si>
  <si>
    <t>PONDERACIÓN CICLO</t>
  </si>
  <si>
    <t>Gestión de Sitio</t>
  </si>
  <si>
    <t>T1</t>
  </si>
  <si>
    <t>T2</t>
  </si>
  <si>
    <t>T3</t>
  </si>
  <si>
    <t>Instalación de Servicios</t>
  </si>
  <si>
    <t>Resumen</t>
  </si>
  <si>
    <t>de KPI</t>
  </si>
  <si>
    <t>Cumplimiento Actividades</t>
  </si>
  <si>
    <t>Total MLB</t>
  </si>
  <si>
    <t>Promedio HH.EE Cuadrillas Mineria</t>
  </si>
  <si>
    <t>Total Avance en Ciclo Minero</t>
  </si>
  <si>
    <t>HORA
INICIO</t>
  </si>
  <si>
    <t>DURACIÓN
ACTIVIDAD</t>
  </si>
  <si>
    <t>UNIDAD</t>
  </si>
  <si>
    <t>Unidades</t>
  </si>
  <si>
    <t>Pernos</t>
  </si>
  <si>
    <t>m²</t>
  </si>
  <si>
    <t>m³</t>
  </si>
  <si>
    <t>Baldadas</t>
  </si>
  <si>
    <t>Tiros</t>
  </si>
  <si>
    <t>DETALLE DE LA ACTIVIDAD</t>
  </si>
  <si>
    <t>CANTIDAD REALIZADA
(Pernos, Malla, Shotcrete,
Baldadas, Tiros, etc)</t>
  </si>
  <si>
    <t>INTERFERENCIAS REGISTRADAS</t>
  </si>
  <si>
    <t>Total Dotación Turno</t>
  </si>
  <si>
    <t>LARGO
PERFORACIÓN (m)
(Actividades Jumbos)</t>
  </si>
  <si>
    <t>Cables</t>
  </si>
  <si>
    <t>Equipos</t>
  </si>
  <si>
    <t>DURACIÓN
INTERFERENCIA</t>
  </si>
  <si>
    <t>Perf</t>
  </si>
  <si>
    <t>RECURSO
(CUADRILLA)</t>
  </si>
  <si>
    <t>% Avance Ciclo Postura 1</t>
  </si>
  <si>
    <t>% Avance Ciclo Postura 2</t>
  </si>
  <si>
    <t>% Avance Ciclo Postura 3</t>
  </si>
  <si>
    <t>% Cumpl</t>
  </si>
  <si>
    <t>Extracción de Marina Superficie</t>
  </si>
  <si>
    <t>Capacidad Balde (m3)</t>
  </si>
  <si>
    <t>Total</t>
  </si>
  <si>
    <t>Total M3 Marina</t>
  </si>
  <si>
    <t>Total M3 Shotcrete</t>
  </si>
  <si>
    <t>KPI de Control Roboshot/Mixer</t>
  </si>
  <si>
    <t>Cantidad de Roboshot</t>
  </si>
  <si>
    <t>Avance x Disparo (m)</t>
  </si>
  <si>
    <t>Valor Metro Lineal ($/m)</t>
  </si>
  <si>
    <t>Avance Venta</t>
  </si>
  <si>
    <t>Ciclo Minero 10,0 x 7,2 m
Galería Inyección Principal</t>
  </si>
  <si>
    <t>Ciclo Minero 5,2 x 5,6 m
Galería Acceso Portal de Servicio</t>
  </si>
  <si>
    <t>Ciclo Minero 9,6 x 7,2 m
Galería Inyección Principal Portal</t>
  </si>
  <si>
    <t>Hora Ofertada</t>
  </si>
  <si>
    <t>Frente</t>
  </si>
  <si>
    <t>PERDIDAS OPERACIONALES (PO)</t>
  </si>
  <si>
    <t>Frente Galeria Auxiliar</t>
  </si>
  <si>
    <t xml:space="preserve">Scoop F/S </t>
  </si>
  <si>
    <t>-</t>
  </si>
  <si>
    <t>G1-3500</t>
  </si>
  <si>
    <t>G1-3700</t>
  </si>
  <si>
    <t>G2-3500</t>
  </si>
  <si>
    <t>G2-3700</t>
  </si>
  <si>
    <t>G3-3500</t>
  </si>
  <si>
    <t>G3-3700</t>
  </si>
  <si>
    <t>G4-3500</t>
  </si>
  <si>
    <t>G4-3700</t>
  </si>
  <si>
    <t>Colación</t>
  </si>
  <si>
    <t>Traslado de Materiales</t>
  </si>
  <si>
    <t>Topografía</t>
  </si>
  <si>
    <t>% Av. 3700</t>
  </si>
  <si>
    <t>% Av. 3500</t>
  </si>
  <si>
    <t>Av. Disp.</t>
  </si>
  <si>
    <t>Gal. Inyec. Sur nodo 3500</t>
  </si>
  <si>
    <t>Dia</t>
  </si>
  <si>
    <t>T°</t>
  </si>
  <si>
    <t>Vent. 3500</t>
  </si>
  <si>
    <t>Vent. 3700</t>
  </si>
  <si>
    <t>H. efect. 3500</t>
  </si>
  <si>
    <t>H. efect. 3700</t>
  </si>
  <si>
    <t>A</t>
  </si>
  <si>
    <t>B</t>
  </si>
  <si>
    <t>Portal auxilizar nodo 3700</t>
  </si>
  <si>
    <t>GG</t>
  </si>
  <si>
    <t>Vent total Real</t>
  </si>
  <si>
    <t>Real acumulado</t>
  </si>
  <si>
    <t>Prog. Parcial</t>
  </si>
  <si>
    <t>Prog. Acum.</t>
  </si>
  <si>
    <t>% cumplimeinto</t>
  </si>
  <si>
    <t>% cumplimeinto T°</t>
  </si>
  <si>
    <t xml:space="preserve"> Galeria Auxiliar nodo 3700</t>
  </si>
  <si>
    <t>Se saca y recambia malla instalada + malla instalación ( se considera solo perimetro de avance)</t>
  </si>
  <si>
    <t>Vent Prog. T°</t>
  </si>
  <si>
    <t>Venta Real T°</t>
  </si>
  <si>
    <t>Horas Efectivas</t>
  </si>
  <si>
    <t>AVANCE VENTA</t>
  </si>
  <si>
    <t>AV. DISP 
(m)</t>
  </si>
  <si>
    <t>VALOR 
METRO LENEAL ($/m)</t>
  </si>
  <si>
    <t>Jumbo J-24</t>
  </si>
  <si>
    <t>Jumbo J-28</t>
  </si>
  <si>
    <t>Scoop ST1030 S-33</t>
  </si>
  <si>
    <t>Scoop XWD S-37</t>
  </si>
  <si>
    <t>Cargador CF-05</t>
  </si>
  <si>
    <t>Mixer CMX-18</t>
  </si>
  <si>
    <t>Roboshot RBT-14</t>
  </si>
  <si>
    <t>Acuñador AM-07</t>
  </si>
  <si>
    <t>MT G-50</t>
  </si>
  <si>
    <t>MT G-54</t>
  </si>
  <si>
    <t>MT G-55</t>
  </si>
  <si>
    <t>Retroexcavadora RT-14</t>
  </si>
  <si>
    <t>Tolva CM-38</t>
  </si>
  <si>
    <t>Tolva CM-39</t>
  </si>
  <si>
    <t>Jumbo 3B 1</t>
  </si>
  <si>
    <t>Jumbo 3B 2</t>
  </si>
  <si>
    <t>% Cumpl. T° $</t>
  </si>
  <si>
    <t>Vent CD prog. T° acum</t>
  </si>
  <si>
    <t>Vent CD prog T° Parc.</t>
  </si>
  <si>
    <t>% Cumpl. HE T°</t>
  </si>
  <si>
    <t>Ajuste de ciclo para a la actividad</t>
  </si>
  <si>
    <t>Viajes</t>
  </si>
  <si>
    <t>Viajes Mx Ton-  km  / viaje 3700</t>
  </si>
  <si>
    <t>Viajes Mx Ton-  km  / viaje 3500</t>
  </si>
  <si>
    <t>Perforación Piso</t>
  </si>
  <si>
    <t>Carguío y tronadura</t>
  </si>
  <si>
    <t>Extracción de Marina rebaje piso</t>
  </si>
  <si>
    <t>Extracción de marina de rebaje de piso</t>
  </si>
  <si>
    <t>Escarpe de piso</t>
  </si>
  <si>
    <t xml:space="preserve">Ewscarpe de piso </t>
  </si>
  <si>
    <t>Ajuste ( Marcación de avance)</t>
  </si>
  <si>
    <t>Peri. Teorico 14,43 por avance de 3,2 m</t>
  </si>
  <si>
    <t>Marcación disparo</t>
  </si>
  <si>
    <t>Ajuste de avance ahasta antes de cargar y quemar</t>
  </si>
  <si>
    <t>Shotcrete m2 3700</t>
  </si>
  <si>
    <t>Ajuste de ciclo para la tronadura</t>
  </si>
  <si>
    <t>Esto no cuenta pq  no es parte del ciclo de este informe</t>
  </si>
  <si>
    <t>No es parte del ciclo para este informe, en este informe  la limpieza de pata va despues de ma marina.</t>
  </si>
  <si>
    <t>No es parte del ciclo para este informe, en este informe  la acuñadura  de pata va despues de ma marina.</t>
  </si>
  <si>
    <t>Sin Scoop disponible en el 3700</t>
  </si>
  <si>
    <t>- Marcaciòn de frente.
- Marcado de armada. (Conex. Portal Aux)</t>
  </si>
  <si>
    <t>- Limpieza de pata.
- Extracciòn de lastre.</t>
  </si>
  <si>
    <t>Generador con problemas</t>
  </si>
  <si>
    <t>Solo se extrae merina para liberar frontòn drenaje.</t>
  </si>
  <si>
    <t>Marcaciòn de disparo en frontòn drenaje.</t>
  </si>
  <si>
    <t>Aislaciòn Codelco mina Subte.</t>
  </si>
  <si>
    <t>Saneamiento para perforaciòn</t>
  </si>
  <si>
    <t>Frotòn Drenaje</t>
  </si>
  <si>
    <t xml:space="preserve">El frontòn drenaje no genera venta. </t>
  </si>
  <si>
    <t>Se remata perforaciòn de disparo de turno A</t>
  </si>
  <si>
    <t>Marcaciòn de frente portal auxiliar</t>
  </si>
  <si>
    <t>Se considera el perimetro teòrico màs el avance de 3,2 m.</t>
  </si>
  <si>
    <t>Generador F/S y Jumbo F/S Bomba compresor.</t>
  </si>
  <si>
    <t>Saneamiento y reposición e instalación malla.
No se considera malla , ya que se dio avance a la malla de fortificación en el turno anterior. Como dice es saneamiento y reposición.</t>
  </si>
  <si>
    <t>Solo falta escarear 6 perforaciónes</t>
  </si>
  <si>
    <t>Ajuste de avance hasta antes de cargar y quemar</t>
  </si>
  <si>
    <t>AV. DISP 
(m) y Viajes Tolva</t>
  </si>
  <si>
    <t xml:space="preserve"> 6 perforaciónes</t>
  </si>
  <si>
    <t>No se da avance ya que el ciclo indica después de perforar, el carguío.</t>
  </si>
  <si>
    <t>Cargío y Tronadura</t>
  </si>
  <si>
    <t>- Marcación de fortificación portal inyrec. Sur.
- Se marca pernos ojo galeria constructiva.</t>
  </si>
  <si>
    <t>- 16 perforaciiones depernos ojo  y las 58 perforaciónes de fortificación</t>
  </si>
  <si>
    <t>Lechado de pernos fortificación Gal. Iny. Sur</t>
  </si>
  <si>
    <t>FS por elemento suelto</t>
  </si>
  <si>
    <t>Mucho volumne de roca demora el proceso, si LHD  en el 3700 S37 F/S.</t>
  </si>
  <si>
    <t>Marcación de armada conexión Portal Auxiliar.</t>
  </si>
  <si>
    <t>Perforación avance solo 15 unidades.</t>
  </si>
  <si>
    <t xml:space="preserve">Perforación fortificación </t>
  </si>
  <si>
    <t>Lechado de pernos fortificación Gal. Iny. Sur, completación de secuencia turno anterior</t>
  </si>
  <si>
    <t>Lechado de peronos ojo para ventilador</t>
  </si>
  <si>
    <t>Diferencial del ciclo entre limpieza de pata y topografía</t>
  </si>
  <si>
    <t>JT indica que es un avance variable, (Armada)</t>
  </si>
  <si>
    <t>JT indica avance parcial de la actividad</t>
  </si>
  <si>
    <t>Falta continuar con malla de fortificacón</t>
  </si>
  <si>
    <t>Días/T°</t>
  </si>
  <si>
    <t>Grupo</t>
  </si>
  <si>
    <t>Total Sem. 1 Julio</t>
  </si>
  <si>
    <t>Cumplimiento</t>
  </si>
  <si>
    <t>1 y 2</t>
  </si>
  <si>
    <t>Prom/día CD (mill)</t>
  </si>
  <si>
    <t>Total CD (mill)</t>
  </si>
  <si>
    <t>Venta Esperada (mill)</t>
  </si>
  <si>
    <t>Diferencia (mill)</t>
  </si>
  <si>
    <t>Gasto General (mill)</t>
  </si>
  <si>
    <t>Total Sem. CD (mill)</t>
  </si>
  <si>
    <t>Se continua la colocación de malla de la fortificación y se completa la actividad con el 70% de avance para alcanzar el 100%.</t>
  </si>
  <si>
    <t>Descarga de malla</t>
  </si>
  <si>
    <t>132 barrenos de un total de 164 = 80%</t>
  </si>
  <si>
    <t>Marcacion frente , ejes y gradiente.</t>
  </si>
  <si>
    <t>Limpio</t>
  </si>
  <si>
    <t>Extracción de laster a acopio temporal</t>
  </si>
  <si>
    <t>Se acuña manual por estas martillo F/S</t>
  </si>
  <si>
    <t>Se espera topografia en la frente , por esta en otra frente.</t>
  </si>
  <si>
    <t>Espera de topografía</t>
  </si>
  <si>
    <t>Se perfora 24 de 45 tiros marcados por topografía.</t>
  </si>
  <si>
    <t>Total venta 3500</t>
  </si>
  <si>
    <t>Total venta 3700</t>
  </si>
  <si>
    <t>De frontón Drrenaje a Fr. Marina</t>
  </si>
  <si>
    <t>Se completa los 32 tiros de avance = 20%</t>
  </si>
  <si>
    <t>Venta Total parc.</t>
  </si>
  <si>
    <t>Venta Total acum.</t>
  </si>
  <si>
    <t>Se se da avance por no pertenecer al ciclo la actividad</t>
  </si>
  <si>
    <t>Explosivo llega a las 3:00 , carguío de frente desde las 3:15 a la 06:00 , tronadura se realiza a las 7:26</t>
  </si>
  <si>
    <t>Frontón Lastre</t>
  </si>
  <si>
    <t>Frontón Drenaje</t>
  </si>
  <si>
    <t>Perforación fortificación frontón mecánico</t>
  </si>
  <si>
    <t>Se lechan pernos de frnón mecánico</t>
  </si>
  <si>
    <t>Cargío desquinche rebaje de piso gal. Conex. Portal aux.</t>
  </si>
  <si>
    <t>No es parte del ciclo el remanejo de marina.</t>
  </si>
  <si>
    <t>G1</t>
  </si>
  <si>
    <t>G2</t>
  </si>
  <si>
    <t>prom/día</t>
  </si>
  <si>
    <t>Venta con GG</t>
  </si>
  <si>
    <t>Vent. Prom G</t>
  </si>
  <si>
    <t>Dias de turno</t>
  </si>
  <si>
    <t>Total venta semana 1</t>
  </si>
  <si>
    <t>Total prom/día</t>
  </si>
  <si>
    <t>G4</t>
  </si>
  <si>
    <t>G3</t>
  </si>
  <si>
    <t>3 y 4</t>
  </si>
  <si>
    <t>Se saca marina de frente a frente de acopio</t>
  </si>
  <si>
    <t>Diferencia del ciclo  a la actividad desde la primera Tarea</t>
  </si>
  <si>
    <t>Continuar con proyección de shotcrete.</t>
  </si>
  <si>
    <t>Se realizan 3 pruebas a pernos con cabeza de expansion.</t>
  </si>
  <si>
    <t>Mantención engrase de escoop S-33</t>
  </si>
  <si>
    <t>$/ml</t>
  </si>
  <si>
    <t>Se continúea con la extracción del lado norte</t>
  </si>
  <si>
    <t>Hr T°</t>
  </si>
  <si>
    <t>Desde frente de acopio a acopio temporal.</t>
  </si>
  <si>
    <t>Diferencia del ciclo  a la actividad desde la primera Tarea por el saneamiento de la malla</t>
  </si>
  <si>
    <t>Instalación  de malla y acondiconamiento.</t>
  </si>
  <si>
    <t>Se realiza limpieza de pata con pala famae</t>
  </si>
  <si>
    <t>Jumbo rompe válvula de agua 3/4" queda operativo 18:45</t>
  </si>
  <si>
    <t>Equipo F/S por flexible retorno percusión segundo tramo B1</t>
  </si>
  <si>
    <t>Se completa el ciclo de perforación que se inicio en el turno anterior.</t>
  </si>
  <si>
    <t>Tiempo de cilo</t>
  </si>
  <si>
    <t>Descarga de malla en front+on mecánico</t>
  </si>
  <si>
    <t>Equipo F/S por flushing quebrado y flujómetro B2 y brake.</t>
  </si>
  <si>
    <t>15 baldadas a gal. Iny norte y 27 baldadas desde frontón acopio a superficie.</t>
  </si>
  <si>
    <t>Se extrae lastre de frente a iny. norte</t>
  </si>
  <si>
    <t>Se extrae lastre de frente a frente de acopio</t>
  </si>
  <si>
    <t>50 pernos marcados de fortificación.</t>
  </si>
  <si>
    <t>Extracción de lastre de acopio temporal a botadero. Con camiones tolva mas limpieza de botadero.</t>
  </si>
  <si>
    <t>Mejoramiento de malla</t>
  </si>
  <si>
    <t>Limpieza de pata con retroexcavadora.</t>
  </si>
  <si>
    <t>Soplado de tiros</t>
  </si>
  <si>
    <t>Suma de activiades adcionales para llegar al % de avance de ciclo.</t>
  </si>
  <si>
    <t>Ventilación</t>
  </si>
  <si>
    <t>Suma del ciclo</t>
  </si>
  <si>
    <t>Extracción de lastre frente a acopio temporal</t>
  </si>
  <si>
    <t>Scoop F/S caletamiento</t>
  </si>
  <si>
    <t>Ya se dío avance al 100 % de la actividad en el turno anterior</t>
  </si>
  <si>
    <t>Saneamiento de malla + acuñadura.</t>
  </si>
  <si>
    <t xml:space="preserve">Instalación de jumbo + marcación fortificación y perforación </t>
  </si>
  <si>
    <t xml:space="preserve">Escarpe de piso y limpieza de pata </t>
  </si>
  <si>
    <t>Se retiran 3 paños de manga corrugada.</t>
  </si>
  <si>
    <t>Extracción de lastre de iny. Norte a acopio (12) y de acopio a acopio temporal (28).</t>
  </si>
  <si>
    <t>Desquinche</t>
  </si>
  <si>
    <t>Marcación de 2 frentes</t>
  </si>
  <si>
    <t>Jumbo J-24 perfora con 1 brazo</t>
  </si>
  <si>
    <t>Extracción de marina de acopio a botadero con camiones tolva</t>
  </si>
  <si>
    <t>Escarpe de piso y limpieza de pata con retro. (lp no pertenece a la secuencia del ciclo, para cuadrar el avance)</t>
  </si>
  <si>
    <t>Cambio de jaula</t>
  </si>
  <si>
    <t>PK 15 - 17  y PK 19-21</t>
  </si>
  <si>
    <t>Parche de malla por caja, no suma al ciclo por ser parche.</t>
  </si>
  <si>
    <t>Suma de activiades</t>
  </si>
  <si>
    <t>Jumbo F/S desde inicio de Turno a las 23:15</t>
  </si>
  <si>
    <t xml:space="preserve">Jumbo F/S </t>
  </si>
  <si>
    <t>Se completa el 100% de la perforación de la frente.</t>
  </si>
  <si>
    <t>Tronadura sale a las 7:20 hrs.</t>
  </si>
  <si>
    <t>Frontón Bodega</t>
  </si>
  <si>
    <t>Se completa al 100% con esta tarea, ya que venía del turno anterior con un 90%.</t>
  </si>
  <si>
    <t>Pala Famae</t>
  </si>
  <si>
    <t>Tronadura sale a las 7:30 hrs.</t>
  </si>
  <si>
    <t>A% Av. Caverna eléctrica solo disparo</t>
  </si>
  <si>
    <t>Se proyecta 7 m3 en los primeros 10 m. del portal auxiliar.</t>
  </si>
  <si>
    <t>Suma de activiades mas las act. Adicional para dar cumplimiento lineal al ciclo hasta el lechado de pernos.</t>
  </si>
  <si>
    <t>Se perforan 20 tiros para pernos ojo de 2,0 m en gal constructiva. Para montaje de ventilador.</t>
  </si>
  <si>
    <t>Se instalan 50 metros de cable mensajero</t>
  </si>
  <si>
    <t>Se extrae lastre desde frontón marina a botadero con tolva.</t>
  </si>
  <si>
    <t>Se extrae marina de la frente a frontón acopio. ( 26 bald. Al lado norte )</t>
  </si>
  <si>
    <t xml:space="preserve">S-37 F/S </t>
  </si>
  <si>
    <t>Frontón Rotura</t>
  </si>
  <si>
    <t>Se instalan 20 metros de cable mensajero</t>
  </si>
  <si>
    <t>Suma de activiades, las otras act no suman por no ser parte del ciclo.</t>
  </si>
  <si>
    <t>Se completa al 100% con esta tarea, ya que venía del turno anterior con un 70%.</t>
  </si>
  <si>
    <t>Frontón de acopio 30% capacidad.</t>
  </si>
  <si>
    <t xml:space="preserve">F/S Equipo se parquea </t>
  </si>
  <si>
    <t>F/S por flexible martillo</t>
  </si>
  <si>
    <t>Suma de activiades , se agrega saneamiento para dar continuidad al ciclo lineal.</t>
  </si>
  <si>
    <t>Se ambas frentes, gal conexión y frontón bodega.</t>
  </si>
  <si>
    <t>Problemas con la roca,(se traba barra)</t>
  </si>
  <si>
    <t>Frontón mecánico</t>
  </si>
  <si>
    <t>Lechado de pernos.</t>
  </si>
  <si>
    <t>Tronadura se realiza a las 18:30 hrs.</t>
  </si>
  <si>
    <t>Fróntón Bodega</t>
  </si>
  <si>
    <t>Instalación Jumbo</t>
  </si>
  <si>
    <t>Jumbo de retira de gal. Conexión aux y se da vuelta a perforar otra frente.</t>
  </si>
  <si>
    <t>Suma de activiades mas las actividaves</t>
  </si>
  <si>
    <t>Extracción de marina de Gal. Iny. Norte a frontón de acopio.</t>
  </si>
  <si>
    <t>Extracción de marina de fr. Acopio a acopio temporal.</t>
  </si>
  <si>
    <t>Lastre de acopio temporal a botadero con camiones tolva.</t>
  </si>
  <si>
    <t>AV. DISP 
(m) y Viajes Tolva (ton/km)</t>
  </si>
  <si>
    <t>Suma de activiades + acondiconamiento de malla que esta en el ciclo.</t>
  </si>
  <si>
    <t>Esta actividad, no es parte del ciclo, entre la perforación de avance y la tronadura.</t>
  </si>
  <si>
    <t>Tronadura a las 7:41 hrs.</t>
  </si>
  <si>
    <t>Desde frontón acopio a acopio temporal.</t>
  </si>
  <si>
    <t>Suma de activiades.</t>
  </si>
  <si>
    <t>Frontón bodéga</t>
  </si>
  <si>
    <t>Se repara malla de fortificación.</t>
  </si>
  <si>
    <t>Lipieza de pata.</t>
  </si>
  <si>
    <t>Se carga y quema a las 7:00 hrs.</t>
  </si>
  <si>
    <t>Viajes de marina 7 dias</t>
  </si>
  <si>
    <t>Venta de turno</t>
  </si>
  <si>
    <t>Venta turno sin la marina a bot.</t>
  </si>
  <si>
    <t>Turno Jun Trigo del 8 al 14.</t>
  </si>
  <si>
    <t>$</t>
  </si>
  <si>
    <t>Venta C/R al T° anterior.</t>
  </si>
  <si>
    <t>Llega a IIFF, Charla de seguridad, retiro de equipos de taller</t>
  </si>
  <si>
    <t>Regado de la marina + Iluminación + Orden de sitio</t>
  </si>
  <si>
    <t>Retiro de 3 equipos plataforma + 1 jumbo de G. Constructiva</t>
  </si>
  <si>
    <t>Desde G. Iny. Sur a Fr. Marina</t>
  </si>
  <si>
    <t>Llega a IIFF, charla de seguridad, desmovilización y resguardo de equipos, más evacuación de sector por evento climatico</t>
  </si>
  <si>
    <t>Paralizado por Evento Climatico</t>
  </si>
  <si>
    <t>Llegada IIFF, cena, charla de seguridad, entrega de epp.</t>
  </si>
  <si>
    <t>Paralización 3700</t>
  </si>
  <si>
    <t>Trabajos paralizados por evento climatico</t>
  </si>
  <si>
    <t>Acuñadura Manual</t>
  </si>
  <si>
    <t>Limpieza de accesos en superficie, para traslado de equipos y camión de abastecimiento</t>
  </si>
  <si>
    <t xml:space="preserve">Limpieza de lastre desde fronton de acopio a acopio provisorio superficie </t>
  </si>
  <si>
    <t>Se declara Alerta 2, se detienen trabajos en superficie y solo se mantiene personal interior mina</t>
  </si>
  <si>
    <t>Retiro de marina desde G. Inyección Norte a Frontón Acopio</t>
  </si>
  <si>
    <t>Limpieza de accesos desde portal a IIFF con cargador frontal y retroexcavadora</t>
  </si>
  <si>
    <t>Limpieza con equipos de acceso atrás de casino para transito de buses, apoyo requerido por codelco</t>
  </si>
  <si>
    <t>Se mantiene alerta 2</t>
  </si>
  <si>
    <t>Afianzamiento de la malla en la frente</t>
  </si>
  <si>
    <t>Corte de energía</t>
  </si>
  <si>
    <t>Corte general de energía</t>
  </si>
  <si>
    <t>Se remata el carguio de la frente avanzado en el turno noche</t>
  </si>
  <si>
    <t>tiros</t>
  </si>
  <si>
    <t>Corte de Energía Eléctrica General DAND</t>
  </si>
  <si>
    <t>Evacuación de Haulage I a Hilton
Corte de energía genera condición de evacuación</t>
  </si>
  <si>
    <t>Se devuelve personal a recuperar habitaciones en Haulage I</t>
  </si>
  <si>
    <t>limpieza de habilitación en Superficie, solicitado por DAND</t>
  </si>
  <si>
    <t>F/S por Temperatura</t>
  </si>
  <si>
    <t>Galería inyección sur, perforación de fortificación</t>
  </si>
  <si>
    <t>Traslado de personal, charla de seguridad, entrega EPP</t>
  </si>
  <si>
    <t>Escolta de Equipo levante al Nodo 3500</t>
  </si>
  <si>
    <t>Limpieza Caminos</t>
  </si>
  <si>
    <t>Paralización</t>
  </si>
  <si>
    <t>colocacion de malla y mejoramiento para iniciar perforación</t>
  </si>
  <si>
    <t>Problemas con presion de agua hidropack</t>
  </si>
  <si>
    <t>Problemas con presion de agua se trabja con 1 solo brazo</t>
  </si>
  <si>
    <t>Equipo jumbo sin presion de agua no se logra continuar perforación.</t>
  </si>
  <si>
    <t>Traslado de personal a nivel 3500</t>
  </si>
  <si>
    <t>Escarpe de piso desde P.K. 195 al P.K. 220</t>
  </si>
  <si>
    <t>Descarga y reposición de malla en galería de inyección.</t>
  </si>
  <si>
    <t>Entrega de EPP y materiales.</t>
  </si>
  <si>
    <t>Traslado de personal, charla de seguridad.</t>
  </si>
  <si>
    <t>Perforación con los 2 brazos</t>
  </si>
  <si>
    <t>Desde frontón drenaje a frontón de acopio.</t>
  </si>
  <si>
    <t>Descarga de malla en inyección sur</t>
  </si>
  <si>
    <t>Orden y aseo de basura dede galería inyección sur.</t>
  </si>
  <si>
    <t>Se comienza por tendido de mensajero, por personal eléctrico  de tunro.</t>
  </si>
  <si>
    <t>Extracción de marina desde galería inyección a frontón marina.</t>
  </si>
  <si>
    <t>Mejoramiento de malla de fortificación , apriete de planchuelas, descarga de malla</t>
  </si>
  <si>
    <t>Instalación de manga lisa en galería constructiva. 25 m</t>
  </si>
  <si>
    <t>Perforación pernos ventilador Gal. Inyección.</t>
  </si>
  <si>
    <t>Ter,mino de lechado pernos ventilados, (lechadora sin fuerza)</t>
  </si>
  <si>
    <t>Comparativo Venta en Obra con Compensación</t>
  </si>
  <si>
    <t>Observaciones</t>
  </si>
  <si>
    <t>Nodo 3500</t>
  </si>
  <si>
    <t>Fecha</t>
  </si>
  <si>
    <t>Nodo 3700</t>
  </si>
  <si>
    <t>G G</t>
  </si>
  <si>
    <t>Obra</t>
  </si>
  <si>
    <t>HH
Ganadas</t>
  </si>
  <si>
    <t>Comp.</t>
  </si>
  <si>
    <t>Plazo</t>
  </si>
  <si>
    <t>Totales</t>
  </si>
  <si>
    <t>1@14</t>
  </si>
  <si>
    <t>15@21</t>
  </si>
  <si>
    <t>HH unitaria</t>
  </si>
  <si>
    <t>HH total</t>
  </si>
  <si>
    <t>Item Obras adic. Sin hh</t>
  </si>
  <si>
    <t xml:space="preserve">Obra </t>
  </si>
  <si>
    <t>Retiro de meteriales y herramientas</t>
  </si>
  <si>
    <t>traslado de personal a galería constructiva.</t>
  </si>
  <si>
    <t>Descarga de malla y apriete de planchuelas, en frontón drenaje</t>
  </si>
  <si>
    <t>Extracción de lastre desde frontón marina a acopio de superficie.</t>
  </si>
  <si>
    <t>Mejoramiento de puntos punch list. Desde pk. 43 a pk.67.</t>
  </si>
  <si>
    <t>Galería constructiva</t>
  </si>
  <si>
    <t>Mejoramiento de puntos punch list. Desde pk. 67 a pk.90</t>
  </si>
  <si>
    <t>Extracción de lastres desde galería inyección norte a frontón de acopio.</t>
  </si>
  <si>
    <t>Galería Constructiva</t>
  </si>
  <si>
    <t xml:space="preserve">Retroexcavadora F/S todo el turno por problemas en multiplos codigos </t>
  </si>
  <si>
    <t>Sin presión de agua no se puede realizar perforaciones con el jumbo</t>
  </si>
  <si>
    <t>Trabajos de Punch list parada 90 a la 115, se realiza mejora de traslape de mallas.</t>
  </si>
  <si>
    <t>Instalación de malla pero no del frente de trabajo</t>
  </si>
  <si>
    <t>Retiro de materiales y herramientas, traslado a galería constructiva y documentación de los trabajos.</t>
  </si>
  <si>
    <t>Retiro de dobles planchuelas en Parada 108 mejoramineto de traslapes de malla fuera de los puntos piunch list.</t>
  </si>
  <si>
    <t>Cambio de manga de sistema decantador en segunda pisicna, instalación de manga de ventilación hasta larería inyección.</t>
  </si>
  <si>
    <t>Sin presión de agua durante todo el turno.</t>
  </si>
  <si>
    <t>Retroexcavadora F/S todo el turno por problemas bomba adblue.</t>
  </si>
  <si>
    <t>Se instala manga lisa 1 tramo de 25 metros.</t>
  </si>
  <si>
    <t>Se trabajan en piuntos puinch list desde parada 101  parada 123.</t>
  </si>
  <si>
    <t xml:space="preserve"> Se realiza el recambio de mangas de drenaje desde 2° piscina a frente galería inyección sur por daño.</t>
  </si>
  <si>
    <t>Se realiza reacarreo de materiales desde costado taller a acopio cercano a Domo chancador.</t>
  </si>
  <si>
    <t>Retroexcavadora F/S todo el turno.</t>
  </si>
  <si>
    <t>Equipo</t>
  </si>
  <si>
    <t>H. Inicio</t>
  </si>
  <si>
    <t>H. Término</t>
  </si>
  <si>
    <t>Comentarios</t>
  </si>
  <si>
    <t>C. Frontal</t>
  </si>
  <si>
    <t>Limpieza ruta tránsito</t>
  </si>
  <si>
    <t>Retroexc.</t>
  </si>
  <si>
    <t>Limpieza de acceso desde portal a IIFF</t>
  </si>
  <si>
    <t>Limpieza sector de atrás casino para tránsito de buses, apoyo a Codelco</t>
  </si>
  <si>
    <t>Limpieza de acceso a taller mecánico y apoyó solicitado por Codelco </t>
  </si>
  <si>
    <t>Limpieza apoyó solicitado por Codelco</t>
  </si>
  <si>
    <t>Apoyo para realizar cruce desde acopio provisorio a domo chancador</t>
  </si>
  <si>
    <t>Limpieza de acceso portal y acceso talleres superficie</t>
  </si>
  <si>
    <t>Scoop</t>
  </si>
  <si>
    <t>Limpieza de ruta desde portal a taller para petrolear generadores</t>
  </si>
  <si>
    <t>Limpieza de acceso a portal y talleres aura</t>
  </si>
  <si>
    <t>Limpieza desde portal a taller para petrolear generador principal</t>
  </si>
  <si>
    <t>Traspaleo de material desde sector costado taller a acopio provisorio cruce domo chancador</t>
  </si>
  <si>
    <t>Retiro de nieve desde frontis taller a acopio besalco</t>
  </si>
  <si>
    <t>Despeje de acopio provisorio nieve costado casino al acopio de nieve besalco</t>
  </si>
  <si>
    <t>Retiro de nieve desde acceso patio materiales a frontis taller</t>
  </si>
  <si>
    <t>Limpieza Caminos de Acceso a Faena</t>
  </si>
  <si>
    <t>Mejoramiento de traslapes de malla, apriete de turcas ,retiro de doble planchuela y descarga de malla desde parada 137 a parada 150. Sector fuera de punch list.</t>
  </si>
  <si>
    <t xml:space="preserve">Retiro de nieve desde frontis taller a acopio besalco con cargador frontal y Scoop </t>
  </si>
  <si>
    <t>Despeje de acopio provisorio nieve costado casino con cargador frontal a acopio nieve besalco</t>
  </si>
  <si>
    <t>Limpieza de galería, retiro de rises</t>
  </si>
  <si>
    <t>Limp. Anterior</t>
  </si>
  <si>
    <t>Total$</t>
  </si>
  <si>
    <t>Total%</t>
  </si>
  <si>
    <t>Reflexión de seguridad DAND</t>
  </si>
  <si>
    <t>Jefe turno mina subterránea ( Alejandro González) , Jefe seguridad mina ( Juan Alvear), personal Policlínico interior mina, departamento de topografía y departamento de prevención Aura.</t>
  </si>
  <si>
    <t>Retiro de materiales, herramientas y documentación de los trabajos.</t>
  </si>
  <si>
    <t>Alerta 4</t>
  </si>
  <si>
    <t>Limpieza acceso a taller Aura y generadores.</t>
  </si>
  <si>
    <t>Ordén y aseo en sector Nivel 16</t>
  </si>
  <si>
    <t>Revisión y levantamiento de trabajos en listado puntos punch list</t>
  </si>
  <si>
    <t xml:space="preserve">Alerta 4 </t>
  </si>
  <si>
    <t>Charla de seguridad, entrega de EPP, traslado de personal al 3500.</t>
  </si>
  <si>
    <t>Se chequean equipos, se chequea generadores, gestión de sito en rampa de conectividad, retiro de rises en batea corchete.</t>
  </si>
  <si>
    <t>Se retiran despunte de mallas en gal inyección norte, aseo en instalaciones de faena y baños.</t>
  </si>
  <si>
    <t>H. Total</t>
  </si>
  <si>
    <t>H. Parcial (num)</t>
  </si>
  <si>
    <t>En proceso</t>
  </si>
  <si>
    <t>Limpieza de nieve acceso a talleres y generador Aura.</t>
  </si>
  <si>
    <t>Limpieza de nieve</t>
  </si>
  <si>
    <t>Días</t>
  </si>
  <si>
    <t>Leegada al nivel 16 en 2 viajes, charla de seguridad y documentación.</t>
  </si>
  <si>
    <t>Revisión de todos los equipos, camión explosivos sale a buscar la carga y regresa a plovorín mina.</t>
  </si>
  <si>
    <t>Revisión de posturas en sector nodo 3500.</t>
  </si>
  <si>
    <t>Colación primer grupo</t>
  </si>
  <si>
    <t>Colación segundo grupo</t>
  </si>
  <si>
    <t>Revisión de estanques de agua y conexión de flange, para su reparación, en talleres DAND.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</si>
</sst>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2" formatCode="_ &quot;$&quot;* #,##0_ ;_ &quot;$&quot;* \-#,##0_ ;_ &quot;$&quot;* &quot;-&quot;_ ;_ @_ "/>
    <numFmt numFmtId="41" formatCode="_ * #,##0_ ;_ * \-#,##0_ ;_ * &quot;-&quot;_ ;_ @_ "/>
    <numFmt numFmtId="164" formatCode="h:mm;\ ;"/>
    <numFmt numFmtId="165" formatCode="0.0"/>
    <numFmt numFmtId="166" formatCode="0.0%"/>
    <numFmt numFmtId="167" formatCode="&quot;$&quot;#,##0"/>
    <numFmt numFmtId="168" formatCode="[h]:mm"/>
    <numFmt numFmtId="169" formatCode="&quot;$&quot;#,##0.0"/>
    <numFmt numFmtId="170" formatCode="_ * #,##0.0_ ;_ * \-#,##0.0_ ;_ * &quot;-&quot;_ ;_ @_ "/>
    <numFmt numFmtId="171" formatCode="&quot;$&quot;#,##0.0000"/>
    <numFmt numFmtId="172" formatCode="_ * #,##0.00_ ;_ * \-#,##0.00_ ;_ * &quot;-&quot;_ ;_ @_ "/>
    <numFmt numFmtId="173" formatCode="#,##0.0;[Red]\-#,##0.0"/>
    <numFmt numFmtId="174" formatCode="#,##0.0_ ;[Red]\-#,##0.0\ "/>
    <numFmt numFmtId="175" formatCode="_ * #,##0.0_ ;_ * \-#,##0.0_ ;_ * &quot;-&quot;?_ ;_ @_ "/>
    <numFmt numFmtId="176" formatCode="&quot;$&quot;#,##0.000"/>
    <numFmt numFmtId="177" formatCode="&quot;$&quot;#,##0.00"/>
    <numFmt numFmtId="178" formatCode="_ * #,##0.000_ ;_ * \-#,##0.000_ ;_ * &quot;-&quot;_ ;_ @_ 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53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/>
    <xf numFmtId="0" fontId="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/>
    <xf numFmtId="0" fontId="2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7" xfId="0" applyBorder="1"/>
    <xf numFmtId="0" fontId="2" fillId="0" borderId="14" xfId="0" applyFont="1" applyBorder="1" applyAlignment="1">
      <alignment horizontal="center" vertical="center"/>
    </xf>
    <xf numFmtId="0" fontId="0" fillId="0" borderId="17" xfId="0" applyBorder="1"/>
    <xf numFmtId="0" fontId="2" fillId="0" borderId="11" xfId="0" applyFont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0" xfId="0" applyFont="1"/>
    <xf numFmtId="164" fontId="0" fillId="0" borderId="14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9" fontId="0" fillId="0" borderId="0" xfId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20" fontId="0" fillId="0" borderId="0" xfId="0" applyNumberFormat="1"/>
    <xf numFmtId="166" fontId="0" fillId="0" borderId="0" xfId="1" applyNumberFormat="1" applyFont="1"/>
    <xf numFmtId="0" fontId="5" fillId="0" borderId="0" xfId="0" applyFont="1" applyAlignment="1">
      <alignment horizontal="center"/>
    </xf>
    <xf numFmtId="10" fontId="0" fillId="0" borderId="2" xfId="1" applyNumberFormat="1" applyFont="1" applyBorder="1" applyAlignment="1">
      <alignment horizontal="center" vertical="center"/>
    </xf>
    <xf numFmtId="166" fontId="1" fillId="2" borderId="0" xfId="1" applyNumberFormat="1" applyFont="1" applyFill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20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165" fontId="0" fillId="3" borderId="0" xfId="0" applyNumberForma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 applyAlignment="1">
      <alignment horizontal="center" vertical="center"/>
    </xf>
    <xf numFmtId="0" fontId="5" fillId="0" borderId="0" xfId="0" applyFont="1" applyAlignment="1">
      <alignment wrapText="1"/>
    </xf>
    <xf numFmtId="168" fontId="0" fillId="0" borderId="0" xfId="0" applyNumberFormat="1"/>
    <xf numFmtId="0" fontId="2" fillId="0" borderId="9" xfId="0" applyFont="1" applyBorder="1"/>
    <xf numFmtId="0" fontId="2" fillId="0" borderId="0" xfId="0" applyFont="1"/>
    <xf numFmtId="0" fontId="2" fillId="0" borderId="10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20" fontId="0" fillId="3" borderId="9" xfId="0" applyNumberForma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9" fontId="0" fillId="0" borderId="10" xfId="1" applyFont="1" applyBorder="1" applyAlignment="1">
      <alignment horizontal="center" vertical="center"/>
    </xf>
    <xf numFmtId="164" fontId="0" fillId="3" borderId="21" xfId="0" applyNumberFormat="1" applyFill="1" applyBorder="1" applyAlignment="1">
      <alignment horizontal="center" vertical="center"/>
    </xf>
    <xf numFmtId="9" fontId="0" fillId="0" borderId="22" xfId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6" fontId="1" fillId="0" borderId="2" xfId="1" applyNumberFormat="1" applyFont="1" applyBorder="1"/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5" xfId="0" applyFont="1" applyBorder="1"/>
    <xf numFmtId="0" fontId="0" fillId="0" borderId="5" xfId="0" applyBorder="1" applyAlignment="1">
      <alignment horizontal="left" vertical="center" wrapText="1"/>
    </xf>
    <xf numFmtId="9" fontId="0" fillId="0" borderId="5" xfId="0" applyNumberForma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70" fontId="0" fillId="0" borderId="0" xfId="3" applyNumberFormat="1" applyFont="1"/>
    <xf numFmtId="9" fontId="0" fillId="0" borderId="0" xfId="1" applyFont="1"/>
    <xf numFmtId="41" fontId="0" fillId="0" borderId="0" xfId="0" applyNumberFormat="1"/>
    <xf numFmtId="41" fontId="1" fillId="0" borderId="2" xfId="3" applyFont="1" applyBorder="1" applyAlignment="1">
      <alignment horizontal="center" vertical="center"/>
    </xf>
    <xf numFmtId="20" fontId="0" fillId="0" borderId="26" xfId="0" applyNumberFormat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0" fontId="0" fillId="0" borderId="21" xfId="0" applyBorder="1"/>
    <xf numFmtId="169" fontId="1" fillId="0" borderId="0" xfId="2" applyNumberFormat="1" applyFont="1" applyFill="1" applyAlignment="1"/>
    <xf numFmtId="0" fontId="1" fillId="0" borderId="27" xfId="0" applyFont="1" applyBorder="1" applyAlignment="1">
      <alignment horizontal="center" vertical="center"/>
    </xf>
    <xf numFmtId="9" fontId="0" fillId="0" borderId="28" xfId="1" applyFont="1" applyBorder="1" applyAlignment="1">
      <alignment horizontal="center" vertical="center"/>
    </xf>
    <xf numFmtId="9" fontId="0" fillId="0" borderId="29" xfId="1" applyFont="1" applyBorder="1" applyAlignment="1">
      <alignment horizontal="center" vertical="center"/>
    </xf>
    <xf numFmtId="169" fontId="1" fillId="2" borderId="0" xfId="1" applyNumberFormat="1" applyFont="1" applyFill="1" applyAlignment="1"/>
    <xf numFmtId="169" fontId="1" fillId="2" borderId="0" xfId="2" applyNumberFormat="1" applyFont="1" applyFill="1" applyAlignment="1"/>
    <xf numFmtId="0" fontId="1" fillId="2" borderId="0" xfId="0" applyFont="1" applyFill="1"/>
    <xf numFmtId="165" fontId="1" fillId="3" borderId="0" xfId="0" applyNumberFormat="1" applyFont="1" applyFill="1" applyAlignment="1">
      <alignment horizontal="center" vertical="center"/>
    </xf>
    <xf numFmtId="9" fontId="1" fillId="0" borderId="2" xfId="1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9" fontId="1" fillId="5" borderId="2" xfId="1" applyFont="1" applyFill="1" applyBorder="1" applyAlignment="1">
      <alignment horizontal="center" vertical="center"/>
    </xf>
    <xf numFmtId="41" fontId="1" fillId="5" borderId="2" xfId="3" applyFont="1" applyFill="1" applyBorder="1" applyAlignment="1">
      <alignment horizontal="center" vertical="center"/>
    </xf>
    <xf numFmtId="166" fontId="1" fillId="5" borderId="2" xfId="1" applyNumberFormat="1" applyFont="1" applyFill="1" applyBorder="1"/>
    <xf numFmtId="170" fontId="1" fillId="5" borderId="2" xfId="3" applyNumberFormat="1" applyFont="1" applyFill="1" applyBorder="1"/>
    <xf numFmtId="170" fontId="1" fillId="0" borderId="2" xfId="3" applyNumberFormat="1" applyFont="1" applyBorder="1"/>
    <xf numFmtId="0" fontId="1" fillId="4" borderId="2" xfId="0" applyFont="1" applyFill="1" applyBorder="1" applyAlignment="1">
      <alignment horizontal="center" vertical="center" wrapText="1"/>
    </xf>
    <xf numFmtId="164" fontId="0" fillId="5" borderId="2" xfId="0" applyNumberFormat="1" applyFill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1" fillId="5" borderId="2" xfId="1" applyNumberFormat="1" applyFont="1" applyFill="1" applyBorder="1" applyAlignment="1">
      <alignment horizontal="center" vertical="center"/>
    </xf>
    <xf numFmtId="164" fontId="1" fillId="0" borderId="2" xfId="1" applyNumberFormat="1" applyFont="1" applyFill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 vertical="center"/>
    </xf>
    <xf numFmtId="166" fontId="0" fillId="0" borderId="0" xfId="1" applyNumberFormat="1" applyFont="1" applyFill="1"/>
    <xf numFmtId="166" fontId="0" fillId="0" borderId="2" xfId="1" applyNumberFormat="1" applyFont="1" applyFill="1" applyBorder="1" applyAlignment="1">
      <alignment horizontal="center" vertical="center"/>
    </xf>
    <xf numFmtId="41" fontId="1" fillId="2" borderId="0" xfId="3" applyFont="1" applyFill="1"/>
    <xf numFmtId="171" fontId="1" fillId="2" borderId="0" xfId="2" applyNumberFormat="1" applyFont="1" applyFill="1" applyAlignment="1"/>
    <xf numFmtId="9" fontId="0" fillId="0" borderId="5" xfId="0" applyNumberFormat="1" applyBorder="1" applyAlignment="1">
      <alignment horizontal="left" vertical="center"/>
    </xf>
    <xf numFmtId="9" fontId="0" fillId="0" borderId="5" xfId="0" applyNumberFormat="1" applyBorder="1" applyAlignment="1">
      <alignment horizontal="left" vertical="center" wrapText="1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3" xfId="0" applyFont="1" applyBorder="1"/>
    <xf numFmtId="0" fontId="8" fillId="0" borderId="17" xfId="0" applyFont="1" applyBorder="1"/>
    <xf numFmtId="14" fontId="7" fillId="0" borderId="12" xfId="0" applyNumberFormat="1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4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4" fontId="7" fillId="3" borderId="0" xfId="0" applyNumberFormat="1" applyFont="1" applyFill="1" applyAlignment="1">
      <alignment horizontal="center"/>
    </xf>
    <xf numFmtId="9" fontId="7" fillId="3" borderId="0" xfId="0" applyNumberFormat="1" applyFont="1" applyFill="1" applyAlignment="1">
      <alignment horizontal="center"/>
    </xf>
    <xf numFmtId="165" fontId="7" fillId="3" borderId="0" xfId="0" applyNumberFormat="1" applyFont="1" applyFill="1" applyAlignment="1">
      <alignment horizontal="center"/>
    </xf>
    <xf numFmtId="166" fontId="7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1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12" xfId="0" applyFont="1" applyBorder="1"/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6" xfId="0" applyFont="1" applyBorder="1"/>
    <xf numFmtId="0" fontId="7" fillId="0" borderId="7" xfId="0" applyFont="1" applyBorder="1"/>
    <xf numFmtId="0" fontId="7" fillId="0" borderId="25" xfId="0" applyFont="1" applyBorder="1"/>
    <xf numFmtId="0" fontId="7" fillId="2" borderId="16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wrapText="1"/>
    </xf>
    <xf numFmtId="20" fontId="8" fillId="0" borderId="5" xfId="0" applyNumberFormat="1" applyFont="1" applyBorder="1" applyAlignment="1">
      <alignment horizontal="center" vertical="center"/>
    </xf>
    <xf numFmtId="164" fontId="8" fillId="0" borderId="14" xfId="0" applyNumberFormat="1" applyFont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9" fontId="8" fillId="0" borderId="5" xfId="0" applyNumberFormat="1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166" fontId="8" fillId="0" borderId="2" xfId="1" applyNumberFormat="1" applyFont="1" applyFill="1" applyBorder="1" applyAlignment="1">
      <alignment horizontal="center" vertical="center"/>
    </xf>
    <xf numFmtId="1" fontId="8" fillId="0" borderId="14" xfId="0" applyNumberFormat="1" applyFont="1" applyBorder="1" applyAlignment="1">
      <alignment horizontal="center" vertical="center"/>
    </xf>
    <xf numFmtId="10" fontId="8" fillId="0" borderId="2" xfId="1" applyNumberFormat="1" applyFont="1" applyBorder="1" applyAlignment="1">
      <alignment horizontal="center" vertical="center"/>
    </xf>
    <xf numFmtId="0" fontId="7" fillId="0" borderId="2" xfId="0" applyFont="1" applyBorder="1"/>
    <xf numFmtId="49" fontId="8" fillId="0" borderId="5" xfId="0" applyNumberFormat="1" applyFont="1" applyBorder="1" applyAlignment="1">
      <alignment horizontal="left" vertical="center" wrapText="1"/>
    </xf>
    <xf numFmtId="166" fontId="8" fillId="0" borderId="2" xfId="1" applyNumberFormat="1" applyFont="1" applyBorder="1" applyAlignment="1">
      <alignment horizontal="center" vertical="center"/>
    </xf>
    <xf numFmtId="9" fontId="8" fillId="0" borderId="5" xfId="0" applyNumberFormat="1" applyFont="1" applyBorder="1" applyAlignment="1">
      <alignment horizontal="left" vertical="center" wrapText="1"/>
    </xf>
    <xf numFmtId="10" fontId="8" fillId="0" borderId="2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20" fontId="8" fillId="3" borderId="9" xfId="0" applyNumberFormat="1" applyFont="1" applyFill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20" fontId="8" fillId="0" borderId="26" xfId="0" applyNumberFormat="1" applyFont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9" fontId="8" fillId="0" borderId="28" xfId="1" applyFont="1" applyBorder="1" applyAlignment="1">
      <alignment horizontal="center" vertical="center"/>
    </xf>
    <xf numFmtId="20" fontId="8" fillId="0" borderId="9" xfId="0" applyNumberFormat="1" applyFont="1" applyBorder="1" applyAlignment="1">
      <alignment horizontal="center" vertical="center"/>
    </xf>
    <xf numFmtId="164" fontId="8" fillId="3" borderId="21" xfId="0" applyNumberFormat="1" applyFont="1" applyFill="1" applyBorder="1" applyAlignment="1">
      <alignment horizontal="center" vertical="center"/>
    </xf>
    <xf numFmtId="9" fontId="8" fillId="0" borderId="29" xfId="1" applyFont="1" applyBorder="1" applyAlignment="1">
      <alignment horizontal="center" vertical="center"/>
    </xf>
    <xf numFmtId="0" fontId="8" fillId="0" borderId="21" xfId="0" applyFont="1" applyBorder="1"/>
    <xf numFmtId="0" fontId="7" fillId="0" borderId="0" xfId="0" applyFont="1" applyAlignment="1">
      <alignment horizontal="left" vertical="center" wrapText="1"/>
    </xf>
    <xf numFmtId="164" fontId="8" fillId="0" borderId="0" xfId="0" applyNumberFormat="1" applyFont="1" applyAlignment="1">
      <alignment horizontal="center" vertical="center"/>
    </xf>
    <xf numFmtId="164" fontId="8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166" fontId="7" fillId="2" borderId="0" xfId="1" applyNumberFormat="1" applyFont="1" applyFill="1" applyAlignment="1">
      <alignment horizontal="center" vertical="center"/>
    </xf>
    <xf numFmtId="169" fontId="7" fillId="2" borderId="0" xfId="1" applyNumberFormat="1" applyFont="1" applyFill="1" applyAlignment="1"/>
    <xf numFmtId="169" fontId="7" fillId="2" borderId="0" xfId="2" applyNumberFormat="1" applyFont="1" applyFill="1" applyAlignment="1"/>
    <xf numFmtId="0" fontId="7" fillId="2" borderId="0" xfId="0" applyFont="1" applyFill="1"/>
    <xf numFmtId="169" fontId="7" fillId="0" borderId="0" xfId="2" applyNumberFormat="1" applyFont="1" applyFill="1" applyAlignment="1"/>
    <xf numFmtId="171" fontId="7" fillId="2" borderId="0" xfId="2" applyNumberFormat="1" applyFont="1" applyFill="1" applyAlignment="1"/>
    <xf numFmtId="41" fontId="7" fillId="2" borderId="0" xfId="3" applyFont="1" applyFill="1"/>
    <xf numFmtId="0" fontId="8" fillId="2" borderId="19" xfId="0" applyFont="1" applyFill="1" applyBorder="1"/>
    <xf numFmtId="0" fontId="7" fillId="3" borderId="0" xfId="0" applyFont="1" applyFill="1" applyAlignment="1">
      <alignment vertical="center" wrapText="1"/>
    </xf>
    <xf numFmtId="20" fontId="8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9" fontId="8" fillId="0" borderId="0" xfId="1" applyFont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7" fillId="3" borderId="0" xfId="0" applyNumberFormat="1" applyFont="1" applyFill="1" applyAlignment="1">
      <alignment horizontal="center" vertical="center"/>
    </xf>
    <xf numFmtId="0" fontId="0" fillId="6" borderId="0" xfId="0" applyFill="1"/>
    <xf numFmtId="49" fontId="8" fillId="0" borderId="5" xfId="0" applyNumberFormat="1" applyFont="1" applyBorder="1" applyAlignment="1">
      <alignment horizontal="left" vertical="center"/>
    </xf>
    <xf numFmtId="172" fontId="7" fillId="2" borderId="0" xfId="3" applyNumberFormat="1" applyFont="1" applyFill="1"/>
    <xf numFmtId="0" fontId="7" fillId="2" borderId="0" xfId="0" applyFont="1" applyFill="1" applyAlignment="1">
      <alignment horizontal="left" vertical="center" wrapText="1"/>
    </xf>
    <xf numFmtId="0" fontId="0" fillId="0" borderId="2" xfId="0" applyBorder="1"/>
    <xf numFmtId="170" fontId="0" fillId="0" borderId="2" xfId="3" applyNumberFormat="1" applyFont="1" applyBorder="1"/>
    <xf numFmtId="170" fontId="1" fillId="0" borderId="2" xfId="0" applyNumberFormat="1" applyFont="1" applyBorder="1"/>
    <xf numFmtId="41" fontId="0" fillId="0" borderId="2" xfId="0" applyNumberFormat="1" applyBorder="1"/>
    <xf numFmtId="170" fontId="4" fillId="0" borderId="2" xfId="3" applyNumberFormat="1" applyFont="1" applyBorder="1"/>
    <xf numFmtId="173" fontId="0" fillId="0" borderId="2" xfId="0" applyNumberFormat="1" applyBorder="1"/>
    <xf numFmtId="0" fontId="1" fillId="0" borderId="2" xfId="0" applyFont="1" applyBorder="1"/>
    <xf numFmtId="10" fontId="1" fillId="0" borderId="2" xfId="1" applyNumberFormat="1" applyFont="1" applyBorder="1"/>
    <xf numFmtId="41" fontId="1" fillId="0" borderId="2" xfId="3" applyFont="1" applyBorder="1" applyAlignment="1">
      <alignment horizontal="left"/>
    </xf>
    <xf numFmtId="41" fontId="4" fillId="0" borderId="2" xfId="3" applyFont="1" applyBorder="1" applyAlignment="1">
      <alignment horizontal="left"/>
    </xf>
    <xf numFmtId="41" fontId="1" fillId="0" borderId="0" xfId="3" applyFont="1" applyFill="1" applyBorder="1" applyAlignment="1">
      <alignment horizontal="center"/>
    </xf>
    <xf numFmtId="0" fontId="9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174" fontId="0" fillId="0" borderId="0" xfId="0" applyNumberFormat="1"/>
    <xf numFmtId="41" fontId="1" fillId="4" borderId="2" xfId="3" applyFont="1" applyFill="1" applyBorder="1" applyAlignment="1">
      <alignment horizontal="left" vertical="center"/>
    </xf>
    <xf numFmtId="41" fontId="1" fillId="4" borderId="2" xfId="3" applyFont="1" applyFill="1" applyBorder="1" applyAlignment="1">
      <alignment horizontal="right" vertical="center"/>
    </xf>
    <xf numFmtId="166" fontId="0" fillId="0" borderId="0" xfId="0" applyNumberFormat="1"/>
    <xf numFmtId="170" fontId="7" fillId="2" borderId="0" xfId="3" applyNumberFormat="1" applyFont="1" applyFill="1"/>
    <xf numFmtId="175" fontId="0" fillId="0" borderId="0" xfId="0" applyNumberFormat="1"/>
    <xf numFmtId="0" fontId="1" fillId="0" borderId="2" xfId="0" applyFont="1" applyBorder="1" applyAlignment="1">
      <alignment horizontal="center"/>
    </xf>
    <xf numFmtId="170" fontId="0" fillId="0" borderId="2" xfId="0" applyNumberFormat="1" applyBorder="1"/>
    <xf numFmtId="41" fontId="1" fillId="0" borderId="2" xfId="3" applyFont="1" applyBorder="1"/>
    <xf numFmtId="41" fontId="0" fillId="0" borderId="2" xfId="3" applyFont="1" applyBorder="1"/>
    <xf numFmtId="0" fontId="1" fillId="0" borderId="4" xfId="0" applyFont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0" fillId="0" borderId="31" xfId="0" applyBorder="1" applyAlignment="1">
      <alignment horizontal="center"/>
    </xf>
    <xf numFmtId="170" fontId="1" fillId="0" borderId="31" xfId="3" applyNumberFormat="1" applyFont="1" applyBorder="1"/>
    <xf numFmtId="41" fontId="1" fillId="0" borderId="31" xfId="3" applyFont="1" applyBorder="1" applyAlignment="1">
      <alignment horizontal="center" vertical="center"/>
    </xf>
    <xf numFmtId="9" fontId="1" fillId="0" borderId="31" xfId="1" applyFont="1" applyBorder="1" applyAlignment="1">
      <alignment horizontal="center" vertical="center"/>
    </xf>
    <xf numFmtId="0" fontId="0" fillId="0" borderId="33" xfId="0" applyBorder="1"/>
    <xf numFmtId="164" fontId="0" fillId="0" borderId="31" xfId="0" applyNumberFormat="1" applyBorder="1" applyAlignment="1">
      <alignment horizontal="center" vertical="center"/>
    </xf>
    <xf numFmtId="164" fontId="1" fillId="0" borderId="31" xfId="1" applyNumberFormat="1" applyFont="1" applyFill="1" applyBorder="1" applyAlignment="1">
      <alignment horizontal="center" vertical="center"/>
    </xf>
    <xf numFmtId="166" fontId="1" fillId="0" borderId="31" xfId="1" applyNumberFormat="1" applyFont="1" applyBorder="1"/>
    <xf numFmtId="0" fontId="0" fillId="0" borderId="41" xfId="0" applyBorder="1"/>
    <xf numFmtId="0" fontId="0" fillId="5" borderId="31" xfId="0" applyFill="1" applyBorder="1" applyAlignment="1">
      <alignment horizontal="center"/>
    </xf>
    <xf numFmtId="170" fontId="1" fillId="5" borderId="31" xfId="3" applyNumberFormat="1" applyFont="1" applyFill="1" applyBorder="1"/>
    <xf numFmtId="41" fontId="1" fillId="5" borderId="31" xfId="3" applyFont="1" applyFill="1" applyBorder="1" applyAlignment="1">
      <alignment horizontal="center" vertical="center"/>
    </xf>
    <xf numFmtId="9" fontId="1" fillId="5" borderId="31" xfId="1" applyFont="1" applyFill="1" applyBorder="1" applyAlignment="1">
      <alignment horizontal="center" vertical="center"/>
    </xf>
    <xf numFmtId="164" fontId="0" fillId="5" borderId="31" xfId="0" applyNumberFormat="1" applyFill="1" applyBorder="1" applyAlignment="1">
      <alignment horizontal="center" vertical="center"/>
    </xf>
    <xf numFmtId="164" fontId="1" fillId="5" borderId="31" xfId="1" applyNumberFormat="1" applyFont="1" applyFill="1" applyBorder="1" applyAlignment="1">
      <alignment horizontal="center" vertical="center"/>
    </xf>
    <xf numFmtId="166" fontId="1" fillId="5" borderId="31" xfId="1" applyNumberFormat="1" applyFont="1" applyFill="1" applyBorder="1"/>
    <xf numFmtId="0" fontId="0" fillId="5" borderId="39" xfId="0" applyFill="1" applyBorder="1" applyAlignment="1">
      <alignment horizontal="center"/>
    </xf>
    <xf numFmtId="170" fontId="1" fillId="5" borderId="39" xfId="3" applyNumberFormat="1" applyFont="1" applyFill="1" applyBorder="1"/>
    <xf numFmtId="41" fontId="1" fillId="5" borderId="39" xfId="3" applyFont="1" applyFill="1" applyBorder="1" applyAlignment="1">
      <alignment horizontal="center" vertical="center"/>
    </xf>
    <xf numFmtId="9" fontId="1" fillId="5" borderId="39" xfId="1" applyFont="1" applyFill="1" applyBorder="1" applyAlignment="1">
      <alignment horizontal="center" vertical="center"/>
    </xf>
    <xf numFmtId="164" fontId="0" fillId="5" borderId="39" xfId="0" applyNumberFormat="1" applyFill="1" applyBorder="1" applyAlignment="1">
      <alignment horizontal="center" vertical="center"/>
    </xf>
    <xf numFmtId="164" fontId="1" fillId="5" borderId="39" xfId="1" applyNumberFormat="1" applyFont="1" applyFill="1" applyBorder="1" applyAlignment="1">
      <alignment horizontal="center" vertical="center"/>
    </xf>
    <xf numFmtId="166" fontId="1" fillId="5" borderId="39" xfId="1" applyNumberFormat="1" applyFont="1" applyFill="1" applyBorder="1"/>
    <xf numFmtId="0" fontId="1" fillId="4" borderId="43" xfId="0" applyFont="1" applyFill="1" applyBorder="1" applyAlignment="1">
      <alignment horizontal="center" vertical="center" wrapText="1"/>
    </xf>
    <xf numFmtId="0" fontId="1" fillId="4" borderId="44" xfId="0" applyFont="1" applyFill="1" applyBorder="1" applyAlignment="1">
      <alignment horizontal="center" vertical="center" wrapText="1"/>
    </xf>
    <xf numFmtId="9" fontId="1" fillId="4" borderId="44" xfId="1" applyFont="1" applyFill="1" applyBorder="1" applyAlignment="1">
      <alignment horizontal="center" vertical="center" wrapText="1"/>
    </xf>
    <xf numFmtId="0" fontId="0" fillId="0" borderId="19" xfId="0" applyBorder="1" applyAlignment="1">
      <alignment vertical="center" wrapText="1"/>
    </xf>
    <xf numFmtId="0" fontId="1" fillId="6" borderId="44" xfId="0" applyFont="1" applyFill="1" applyBorder="1" applyAlignment="1">
      <alignment horizontal="center" vertical="center" wrapText="1"/>
    </xf>
    <xf numFmtId="170" fontId="1" fillId="4" borderId="44" xfId="3" applyNumberFormat="1" applyFont="1" applyFill="1" applyBorder="1" applyAlignment="1">
      <alignment horizontal="center" vertical="center" wrapText="1"/>
    </xf>
    <xf numFmtId="166" fontId="1" fillId="4" borderId="44" xfId="1" applyNumberFormat="1" applyFont="1" applyFill="1" applyBorder="1" applyAlignment="1">
      <alignment horizontal="center" vertical="center" wrapText="1"/>
    </xf>
    <xf numFmtId="0" fontId="1" fillId="4" borderId="45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/>
    </xf>
    <xf numFmtId="172" fontId="0" fillId="0" borderId="0" xfId="3" applyNumberFormat="1" applyFont="1"/>
    <xf numFmtId="172" fontId="1" fillId="0" borderId="0" xfId="3" applyNumberFormat="1" applyFont="1"/>
    <xf numFmtId="172" fontId="0" fillId="0" borderId="0" xfId="3" applyNumberFormat="1" applyFont="1" applyAlignment="1">
      <alignment horizontal="center"/>
    </xf>
    <xf numFmtId="172" fontId="1" fillId="0" borderId="0" xfId="3" applyNumberFormat="1" applyFont="1" applyAlignment="1">
      <alignment horizontal="center"/>
    </xf>
    <xf numFmtId="10" fontId="0" fillId="0" borderId="0" xfId="1" applyNumberFormat="1" applyFont="1"/>
    <xf numFmtId="170" fontId="1" fillId="0" borderId="2" xfId="3" applyNumberFormat="1" applyFont="1" applyFill="1" applyBorder="1"/>
    <xf numFmtId="41" fontId="1" fillId="0" borderId="2" xfId="3" applyFont="1" applyFill="1" applyBorder="1" applyAlignment="1">
      <alignment horizontal="center" vertical="center"/>
    </xf>
    <xf numFmtId="9" fontId="1" fillId="0" borderId="2" xfId="1" applyFont="1" applyFill="1" applyBorder="1" applyAlignment="1">
      <alignment horizontal="center" vertical="center"/>
    </xf>
    <xf numFmtId="166" fontId="1" fillId="0" borderId="2" xfId="1" applyNumberFormat="1" applyFont="1" applyFill="1" applyBorder="1"/>
    <xf numFmtId="176" fontId="7" fillId="2" borderId="0" xfId="2" applyNumberFormat="1" applyFont="1" applyFill="1" applyAlignment="1"/>
    <xf numFmtId="166" fontId="10" fillId="0" borderId="0" xfId="1" applyNumberFormat="1" applyFont="1" applyFill="1"/>
    <xf numFmtId="177" fontId="7" fillId="2" borderId="0" xfId="1" applyNumberFormat="1" applyFont="1" applyFill="1" applyAlignment="1"/>
    <xf numFmtId="177" fontId="7" fillId="2" borderId="0" xfId="2" applyNumberFormat="1" applyFont="1" applyFill="1" applyAlignment="1"/>
    <xf numFmtId="170" fontId="0" fillId="0" borderId="2" xfId="3" applyNumberFormat="1" applyFont="1" applyBorder="1" applyAlignment="1">
      <alignment horizontal="right"/>
    </xf>
    <xf numFmtId="175" fontId="0" fillId="0" borderId="2" xfId="0" applyNumberFormat="1" applyBorder="1"/>
    <xf numFmtId="174" fontId="0" fillId="0" borderId="2" xfId="0" applyNumberFormat="1" applyBorder="1" applyAlignment="1">
      <alignment horizontal="center"/>
    </xf>
    <xf numFmtId="174" fontId="0" fillId="0" borderId="2" xfId="0" applyNumberFormat="1" applyBorder="1"/>
    <xf numFmtId="0" fontId="1" fillId="5" borderId="2" xfId="0" applyFont="1" applyFill="1" applyBorder="1" applyAlignment="1">
      <alignment horizontal="center"/>
    </xf>
    <xf numFmtId="41" fontId="1" fillId="9" borderId="2" xfId="3" applyFont="1" applyFill="1" applyBorder="1" applyAlignment="1">
      <alignment horizontal="center" vertical="center"/>
    </xf>
    <xf numFmtId="166" fontId="1" fillId="9" borderId="2" xfId="1" applyNumberFormat="1" applyFont="1" applyFill="1" applyBorder="1"/>
    <xf numFmtId="41" fontId="1" fillId="9" borderId="39" xfId="3" applyFont="1" applyFill="1" applyBorder="1" applyAlignment="1">
      <alignment horizontal="center" vertical="center"/>
    </xf>
    <xf numFmtId="166" fontId="1" fillId="9" borderId="39" xfId="1" applyNumberFormat="1" applyFont="1" applyFill="1" applyBorder="1"/>
    <xf numFmtId="0" fontId="0" fillId="9" borderId="2" xfId="0" applyFill="1" applyBorder="1" applyAlignment="1">
      <alignment horizontal="center"/>
    </xf>
    <xf numFmtId="170" fontId="1" fillId="9" borderId="2" xfId="3" applyNumberFormat="1" applyFont="1" applyFill="1" applyBorder="1"/>
    <xf numFmtId="9" fontId="1" fillId="9" borderId="2" xfId="1" applyFont="1" applyFill="1" applyBorder="1" applyAlignment="1">
      <alignment horizontal="center" vertical="center"/>
    </xf>
    <xf numFmtId="0" fontId="0" fillId="9" borderId="0" xfId="0" applyFill="1"/>
    <xf numFmtId="164" fontId="0" fillId="9" borderId="2" xfId="0" applyNumberFormat="1" applyFill="1" applyBorder="1" applyAlignment="1">
      <alignment horizontal="center" vertical="center"/>
    </xf>
    <xf numFmtId="164" fontId="1" fillId="9" borderId="2" xfId="1" applyNumberFormat="1" applyFont="1" applyFill="1" applyBorder="1" applyAlignment="1">
      <alignment horizontal="center" vertical="center"/>
    </xf>
    <xf numFmtId="0" fontId="0" fillId="9" borderId="39" xfId="0" applyFill="1" applyBorder="1" applyAlignment="1">
      <alignment horizontal="center"/>
    </xf>
    <xf numFmtId="170" fontId="1" fillId="9" borderId="39" xfId="3" applyNumberFormat="1" applyFont="1" applyFill="1" applyBorder="1"/>
    <xf numFmtId="9" fontId="1" fillId="9" borderId="39" xfId="1" applyFont="1" applyFill="1" applyBorder="1" applyAlignment="1">
      <alignment horizontal="center" vertical="center"/>
    </xf>
    <xf numFmtId="0" fontId="0" fillId="9" borderId="41" xfId="0" applyFill="1" applyBorder="1"/>
    <xf numFmtId="164" fontId="0" fillId="9" borderId="39" xfId="0" applyNumberFormat="1" applyFill="1" applyBorder="1" applyAlignment="1">
      <alignment horizontal="center" vertical="center"/>
    </xf>
    <xf numFmtId="164" fontId="1" fillId="9" borderId="39" xfId="1" applyNumberFormat="1" applyFont="1" applyFill="1" applyBorder="1" applyAlignment="1">
      <alignment horizontal="center" vertical="center"/>
    </xf>
    <xf numFmtId="170" fontId="0" fillId="0" borderId="0" xfId="0" applyNumberFormat="1"/>
    <xf numFmtId="0" fontId="0" fillId="0" borderId="39" xfId="0" applyBorder="1" applyAlignment="1">
      <alignment horizontal="center"/>
    </xf>
    <xf numFmtId="170" fontId="1" fillId="0" borderId="39" xfId="3" applyNumberFormat="1" applyFont="1" applyBorder="1"/>
    <xf numFmtId="41" fontId="1" fillId="0" borderId="39" xfId="3" applyFont="1" applyBorder="1" applyAlignment="1">
      <alignment horizontal="center" vertical="center"/>
    </xf>
    <xf numFmtId="9" fontId="1" fillId="0" borderId="39" xfId="1" applyFont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164" fontId="1" fillId="0" borderId="39" xfId="1" applyNumberFormat="1" applyFont="1" applyFill="1" applyBorder="1" applyAlignment="1">
      <alignment horizontal="center" vertical="center"/>
    </xf>
    <xf numFmtId="166" fontId="1" fillId="0" borderId="39" xfId="1" applyNumberFormat="1" applyFont="1" applyBorder="1"/>
    <xf numFmtId="0" fontId="0" fillId="0" borderId="0" xfId="0" applyAlignment="1">
      <alignment vertical="center" wrapText="1"/>
    </xf>
    <xf numFmtId="9" fontId="0" fillId="10" borderId="0" xfId="0" applyNumberFormat="1" applyFill="1" applyAlignment="1">
      <alignment vertical="center" wrapText="1"/>
    </xf>
    <xf numFmtId="41" fontId="0" fillId="0" borderId="0" xfId="3" applyFont="1" applyAlignment="1">
      <alignment vertical="center" wrapText="1"/>
    </xf>
    <xf numFmtId="170" fontId="0" fillId="0" borderId="0" xfId="0" applyNumberFormat="1" applyAlignment="1">
      <alignment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41" fontId="0" fillId="0" borderId="2" xfId="3" applyFont="1" applyBorder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0" fontId="1" fillId="10" borderId="2" xfId="0" applyFont="1" applyFill="1" applyBorder="1" applyAlignment="1">
      <alignment vertical="center" wrapText="1"/>
    </xf>
    <xf numFmtId="165" fontId="1" fillId="10" borderId="2" xfId="0" applyNumberFormat="1" applyFont="1" applyFill="1" applyBorder="1" applyAlignment="1">
      <alignment horizontal="center" vertical="center" wrapText="1"/>
    </xf>
    <xf numFmtId="41" fontId="11" fillId="0" borderId="0" xfId="4" applyNumberFormat="1" applyAlignment="1">
      <alignment vertical="center" wrapText="1"/>
    </xf>
    <xf numFmtId="41" fontId="0" fillId="0" borderId="0" xfId="0" applyNumberFormat="1" applyAlignment="1">
      <alignment vertical="center" wrapText="1"/>
    </xf>
    <xf numFmtId="0" fontId="11" fillId="0" borderId="0" xfId="4" applyAlignment="1">
      <alignment vertical="center" wrapText="1"/>
    </xf>
    <xf numFmtId="170" fontId="0" fillId="0" borderId="2" xfId="3" applyNumberFormat="1" applyFont="1" applyBorder="1" applyAlignment="1">
      <alignment horizontal="center"/>
    </xf>
    <xf numFmtId="170" fontId="1" fillId="0" borderId="2" xfId="3" applyNumberFormat="1" applyFont="1" applyBorder="1" applyAlignment="1">
      <alignment horizontal="center" vertical="center"/>
    </xf>
    <xf numFmtId="178" fontId="0" fillId="0" borderId="2" xfId="3" applyNumberFormat="1" applyFont="1" applyBorder="1" applyAlignment="1">
      <alignment horizontal="center"/>
    </xf>
    <xf numFmtId="169" fontId="4" fillId="0" borderId="2" xfId="2" applyNumberFormat="1" applyFont="1" applyFill="1" applyBorder="1" applyAlignment="1">
      <alignment horizontal="center"/>
    </xf>
    <xf numFmtId="169" fontId="4" fillId="0" borderId="0" xfId="2" applyNumberFormat="1" applyFont="1" applyFill="1" applyBorder="1" applyAlignment="1">
      <alignment horizontal="center"/>
    </xf>
    <xf numFmtId="0" fontId="8" fillId="0" borderId="2" xfId="0" applyFont="1" applyBorder="1"/>
    <xf numFmtId="0" fontId="7" fillId="3" borderId="2" xfId="0" applyFont="1" applyFill="1" applyBorder="1" applyAlignment="1">
      <alignment horizontal="center" vertical="center" wrapText="1"/>
    </xf>
    <xf numFmtId="169" fontId="7" fillId="0" borderId="2" xfId="2" applyNumberFormat="1" applyFont="1" applyFill="1" applyBorder="1" applyAlignment="1"/>
    <xf numFmtId="170" fontId="7" fillId="0" borderId="2" xfId="0" applyNumberFormat="1" applyFont="1" applyBorder="1"/>
    <xf numFmtId="41" fontId="1" fillId="10" borderId="2" xfId="3" applyFont="1" applyFill="1" applyBorder="1" applyAlignment="1">
      <alignment horizontal="center" vertical="center" wrapText="1"/>
    </xf>
    <xf numFmtId="41" fontId="1" fillId="10" borderId="2" xfId="0" applyNumberFormat="1" applyFont="1" applyFill="1" applyBorder="1" applyAlignment="1">
      <alignment vertical="center" wrapText="1"/>
    </xf>
    <xf numFmtId="41" fontId="0" fillId="0" borderId="2" xfId="3" applyFont="1" applyFill="1" applyBorder="1" applyAlignment="1">
      <alignment horizontal="center" vertical="center" wrapText="1"/>
    </xf>
    <xf numFmtId="0" fontId="12" fillId="14" borderId="2" xfId="0" applyFont="1" applyFill="1" applyBorder="1"/>
    <xf numFmtId="0" fontId="13" fillId="13" borderId="47" xfId="0" applyFont="1" applyFill="1" applyBorder="1"/>
    <xf numFmtId="20" fontId="13" fillId="13" borderId="47" xfId="0" applyNumberFormat="1" applyFont="1" applyFill="1" applyBorder="1" applyAlignment="1">
      <alignment horizontal="center" vertical="center"/>
    </xf>
    <xf numFmtId="0" fontId="13" fillId="13" borderId="0" xfId="0" applyFont="1" applyFill="1"/>
    <xf numFmtId="172" fontId="13" fillId="13" borderId="47" xfId="3" applyNumberFormat="1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/>
    </xf>
    <xf numFmtId="172" fontId="0" fillId="0" borderId="2" xfId="3" applyNumberFormat="1" applyFont="1" applyBorder="1"/>
    <xf numFmtId="172" fontId="7" fillId="0" borderId="2" xfId="0" applyNumberFormat="1" applyFont="1" applyBorder="1"/>
    <xf numFmtId="10" fontId="8" fillId="0" borderId="2" xfId="1" applyNumberFormat="1" applyFont="1" applyBorder="1"/>
    <xf numFmtId="172" fontId="0" fillId="0" borderId="0" xfId="3" applyNumberFormat="1" applyFont="1" applyBorder="1"/>
    <xf numFmtId="172" fontId="1" fillId="0" borderId="0" xfId="3" applyNumberFormat="1" applyFont="1" applyBorder="1"/>
    <xf numFmtId="172" fontId="12" fillId="14" borderId="5" xfId="3" applyNumberFormat="1" applyFont="1" applyFill="1" applyBorder="1" applyAlignment="1">
      <alignment horizontal="center" vertical="center"/>
    </xf>
    <xf numFmtId="14" fontId="12" fillId="13" borderId="49" xfId="0" applyNumberFormat="1" applyFont="1" applyFill="1" applyBorder="1" applyAlignment="1">
      <alignment horizontal="right"/>
    </xf>
    <xf numFmtId="14" fontId="12" fillId="13" borderId="51" xfId="0" applyNumberFormat="1" applyFont="1" applyFill="1" applyBorder="1" applyAlignment="1">
      <alignment horizontal="right"/>
    </xf>
    <xf numFmtId="0" fontId="13" fillId="13" borderId="52" xfId="0" applyFont="1" applyFill="1" applyBorder="1"/>
    <xf numFmtId="20" fontId="13" fillId="13" borderId="52" xfId="0" applyNumberFormat="1" applyFont="1" applyFill="1" applyBorder="1" applyAlignment="1">
      <alignment horizontal="center" vertical="center"/>
    </xf>
    <xf numFmtId="16" fontId="8" fillId="0" borderId="2" xfId="0" applyNumberFormat="1" applyFont="1" applyBorder="1"/>
    <xf numFmtId="0" fontId="8" fillId="0" borderId="2" xfId="0" applyFont="1" applyBorder="1" applyAlignment="1">
      <alignment horizontal="center"/>
    </xf>
    <xf numFmtId="41" fontId="1" fillId="5" borderId="23" xfId="3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/>
    </xf>
    <xf numFmtId="170" fontId="1" fillId="5" borderId="23" xfId="3" applyNumberFormat="1" applyFont="1" applyFill="1" applyBorder="1"/>
    <xf numFmtId="9" fontId="1" fillId="5" borderId="23" xfId="1" applyFont="1" applyFill="1" applyBorder="1" applyAlignment="1">
      <alignment horizontal="center" vertical="center"/>
    </xf>
    <xf numFmtId="164" fontId="0" fillId="5" borderId="23" xfId="0" applyNumberFormat="1" applyFill="1" applyBorder="1" applyAlignment="1">
      <alignment horizontal="center" vertical="center"/>
    </xf>
    <xf numFmtId="164" fontId="1" fillId="5" borderId="23" xfId="1" applyNumberFormat="1" applyFont="1" applyFill="1" applyBorder="1" applyAlignment="1">
      <alignment horizontal="center" vertical="center"/>
    </xf>
    <xf numFmtId="166" fontId="1" fillId="5" borderId="23" xfId="1" applyNumberFormat="1" applyFont="1" applyFill="1" applyBorder="1"/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20" fontId="7" fillId="0" borderId="5" xfId="0" applyNumberFormat="1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0" xfId="0" applyFont="1"/>
    <xf numFmtId="166" fontId="7" fillId="0" borderId="2" xfId="1" applyNumberFormat="1" applyFont="1" applyFill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20" fontId="12" fillId="14" borderId="14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vertical="center"/>
    </xf>
    <xf numFmtId="172" fontId="13" fillId="13" borderId="56" xfId="3" applyNumberFormat="1" applyFont="1" applyFill="1" applyBorder="1" applyAlignment="1">
      <alignment horizontal="center" vertical="center"/>
    </xf>
    <xf numFmtId="0" fontId="12" fillId="14" borderId="46" xfId="0" applyFont="1" applyFill="1" applyBorder="1" applyAlignment="1">
      <alignment horizontal="center" vertical="center"/>
    </xf>
    <xf numFmtId="0" fontId="13" fillId="13" borderId="57" xfId="0" applyFont="1" applyFill="1" applyBorder="1"/>
    <xf numFmtId="0" fontId="13" fillId="13" borderId="5" xfId="0" applyFont="1" applyFill="1" applyBorder="1"/>
    <xf numFmtId="165" fontId="1" fillId="0" borderId="0" xfId="1" applyNumberFormat="1" applyFont="1" applyAlignment="1">
      <alignment horizontal="center"/>
    </xf>
    <xf numFmtId="167" fontId="1" fillId="0" borderId="0" xfId="2" applyNumberFormat="1" applyFont="1" applyAlignment="1">
      <alignment horizontal="center"/>
    </xf>
    <xf numFmtId="169" fontId="1" fillId="0" borderId="0" xfId="1" applyNumberFormat="1" applyFont="1" applyAlignment="1">
      <alignment horizontal="center"/>
    </xf>
    <xf numFmtId="0" fontId="1" fillId="2" borderId="19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center"/>
    </xf>
    <xf numFmtId="14" fontId="2" fillId="3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 vertical="center" wrapText="1"/>
    </xf>
    <xf numFmtId="169" fontId="1" fillId="0" borderId="0" xfId="2" applyNumberFormat="1" applyFont="1" applyAlignment="1">
      <alignment horizontal="center"/>
    </xf>
    <xf numFmtId="169" fontId="1" fillId="0" borderId="0" xfId="2" applyNumberFormat="1" applyFont="1" applyFill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" fillId="2" borderId="18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4" fontId="7" fillId="3" borderId="0" xfId="0" applyNumberFormat="1" applyFont="1" applyFill="1" applyAlignment="1">
      <alignment horizontal="left"/>
    </xf>
    <xf numFmtId="0" fontId="7" fillId="0" borderId="24" xfId="0" applyFont="1" applyBorder="1" applyAlignment="1">
      <alignment horizontal="center"/>
    </xf>
    <xf numFmtId="0" fontId="7" fillId="2" borderId="0" xfId="0" applyFont="1" applyFill="1" applyAlignment="1">
      <alignment horizontal="left" vertical="center" wrapText="1"/>
    </xf>
    <xf numFmtId="0" fontId="7" fillId="2" borderId="19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 wrapText="1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41" fontId="1" fillId="0" borderId="23" xfId="3" applyFont="1" applyBorder="1" applyAlignment="1">
      <alignment horizontal="center" vertical="center"/>
    </xf>
    <xf numFmtId="41" fontId="1" fillId="0" borderId="5" xfId="3" applyFont="1" applyBorder="1" applyAlignment="1">
      <alignment horizontal="center" vertical="center"/>
    </xf>
    <xf numFmtId="9" fontId="1" fillId="0" borderId="17" xfId="1" applyFont="1" applyBorder="1" applyAlignment="1">
      <alignment horizontal="center" vertical="center"/>
    </xf>
    <xf numFmtId="9" fontId="1" fillId="0" borderId="36" xfId="1" applyFont="1" applyBorder="1" applyAlignment="1">
      <alignment horizontal="center" vertical="center"/>
    </xf>
    <xf numFmtId="16" fontId="0" fillId="5" borderId="37" xfId="0" applyNumberFormat="1" applyFill="1" applyBorder="1" applyAlignment="1">
      <alignment horizontal="center" vertical="center"/>
    </xf>
    <xf numFmtId="0" fontId="0" fillId="5" borderId="38" xfId="0" applyFill="1" applyBorder="1" applyAlignment="1">
      <alignment horizontal="center" vertical="center"/>
    </xf>
    <xf numFmtId="170" fontId="1" fillId="5" borderId="23" xfId="3" applyNumberFormat="1" applyFont="1" applyFill="1" applyBorder="1" applyAlignment="1">
      <alignment horizontal="center" vertical="center"/>
    </xf>
    <xf numFmtId="170" fontId="1" fillId="5" borderId="40" xfId="3" applyNumberFormat="1" applyFont="1" applyFill="1" applyBorder="1" applyAlignment="1">
      <alignment horizontal="center" vertical="center"/>
    </xf>
    <xf numFmtId="170" fontId="1" fillId="5" borderId="23" xfId="3" applyNumberFormat="1" applyFont="1" applyFill="1" applyBorder="1" applyAlignment="1">
      <alignment horizontal="center" vertical="center" wrapText="1"/>
    </xf>
    <xf numFmtId="170" fontId="1" fillId="5" borderId="40" xfId="3" applyNumberFormat="1" applyFont="1" applyFill="1" applyBorder="1" applyAlignment="1">
      <alignment horizontal="center" vertical="center" wrapText="1"/>
    </xf>
    <xf numFmtId="41" fontId="1" fillId="5" borderId="23" xfId="3" applyFont="1" applyFill="1" applyBorder="1" applyAlignment="1">
      <alignment horizontal="center" vertical="center"/>
    </xf>
    <xf numFmtId="41" fontId="1" fillId="5" borderId="40" xfId="3" applyFont="1" applyFill="1" applyBorder="1" applyAlignment="1">
      <alignment horizontal="center" vertical="center"/>
    </xf>
    <xf numFmtId="41" fontId="1" fillId="5" borderId="2" xfId="3" applyFont="1" applyFill="1" applyBorder="1" applyAlignment="1">
      <alignment horizontal="center" vertical="center"/>
    </xf>
    <xf numFmtId="41" fontId="1" fillId="5" borderId="39" xfId="3" applyFont="1" applyFill="1" applyBorder="1" applyAlignment="1">
      <alignment horizontal="center" vertical="center"/>
    </xf>
    <xf numFmtId="170" fontId="1" fillId="6" borderId="23" xfId="3" applyNumberFormat="1" applyFont="1" applyFill="1" applyBorder="1" applyAlignment="1">
      <alignment horizontal="center" vertical="center"/>
    </xf>
    <xf numFmtId="170" fontId="1" fillId="6" borderId="40" xfId="3" applyNumberFormat="1" applyFont="1" applyFill="1" applyBorder="1" applyAlignment="1">
      <alignment horizontal="center" vertical="center"/>
    </xf>
    <xf numFmtId="9" fontId="1" fillId="5" borderId="17" xfId="1" applyFont="1" applyFill="1" applyBorder="1" applyAlignment="1">
      <alignment horizontal="center" vertical="center"/>
    </xf>
    <xf numFmtId="9" fontId="1" fillId="5" borderId="42" xfId="1" applyFont="1" applyFill="1" applyBorder="1" applyAlignment="1">
      <alignment horizontal="center" vertical="center"/>
    </xf>
    <xf numFmtId="16" fontId="0" fillId="0" borderId="37" xfId="0" applyNumberForma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70" fontId="1" fillId="0" borderId="23" xfId="3" applyNumberFormat="1" applyFont="1" applyBorder="1" applyAlignment="1">
      <alignment horizontal="center" vertical="center"/>
    </xf>
    <xf numFmtId="170" fontId="1" fillId="0" borderId="5" xfId="3" applyNumberFormat="1" applyFont="1" applyBorder="1" applyAlignment="1">
      <alignment horizontal="center" vertical="center"/>
    </xf>
    <xf numFmtId="41" fontId="1" fillId="0" borderId="2" xfId="3" applyFont="1" applyBorder="1" applyAlignment="1">
      <alignment horizontal="center" vertical="center"/>
    </xf>
    <xf numFmtId="170" fontId="1" fillId="6" borderId="5" xfId="3" applyNumberFormat="1" applyFont="1" applyFill="1" applyBorder="1" applyAlignment="1">
      <alignment horizontal="center" vertical="center"/>
    </xf>
    <xf numFmtId="0" fontId="0" fillId="5" borderId="53" xfId="0" applyFill="1" applyBorder="1" applyAlignment="1">
      <alignment horizontal="center" vertical="center"/>
    </xf>
    <xf numFmtId="170" fontId="1" fillId="5" borderId="54" xfId="3" applyNumberFormat="1" applyFont="1" applyFill="1" applyBorder="1" applyAlignment="1">
      <alignment horizontal="center" vertical="center"/>
    </xf>
    <xf numFmtId="170" fontId="1" fillId="5" borderId="54" xfId="3" applyNumberFormat="1" applyFont="1" applyFill="1" applyBorder="1" applyAlignment="1">
      <alignment horizontal="center" vertical="center" wrapText="1"/>
    </xf>
    <xf numFmtId="41" fontId="1" fillId="5" borderId="54" xfId="3" applyFont="1" applyFill="1" applyBorder="1" applyAlignment="1">
      <alignment horizontal="center" vertical="center"/>
    </xf>
    <xf numFmtId="170" fontId="1" fillId="6" borderId="54" xfId="3" applyNumberFormat="1" applyFont="1" applyFill="1" applyBorder="1" applyAlignment="1">
      <alignment horizontal="center" vertical="center"/>
    </xf>
    <xf numFmtId="9" fontId="1" fillId="5" borderId="55" xfId="1" applyFont="1" applyFill="1" applyBorder="1" applyAlignment="1">
      <alignment horizontal="center" vertical="center"/>
    </xf>
    <xf numFmtId="41" fontId="1" fillId="0" borderId="23" xfId="3" applyFont="1" applyFill="1" applyBorder="1" applyAlignment="1">
      <alignment horizontal="center" vertical="center"/>
    </xf>
    <xf numFmtId="41" fontId="1" fillId="0" borderId="5" xfId="3" applyFont="1" applyFill="1" applyBorder="1" applyAlignment="1">
      <alignment horizontal="center" vertical="center"/>
    </xf>
    <xf numFmtId="41" fontId="1" fillId="5" borderId="5" xfId="3" applyFont="1" applyFill="1" applyBorder="1" applyAlignment="1">
      <alignment horizontal="center" vertical="center"/>
    </xf>
    <xf numFmtId="41" fontId="1" fillId="0" borderId="32" xfId="3" applyFont="1" applyBorder="1" applyAlignment="1">
      <alignment horizontal="center" vertical="center"/>
    </xf>
    <xf numFmtId="9" fontId="1" fillId="0" borderId="34" xfId="1" applyFont="1" applyBorder="1" applyAlignment="1">
      <alignment horizontal="center" vertical="center"/>
    </xf>
    <xf numFmtId="9" fontId="1" fillId="5" borderId="36" xfId="1" applyFont="1" applyFill="1" applyBorder="1" applyAlignment="1">
      <alignment horizontal="center" vertical="center"/>
    </xf>
    <xf numFmtId="9" fontId="1" fillId="0" borderId="17" xfId="1" applyFont="1" applyFill="1" applyBorder="1" applyAlignment="1">
      <alignment horizontal="center" vertical="center"/>
    </xf>
    <xf numFmtId="9" fontId="1" fillId="0" borderId="36" xfId="1" applyFont="1" applyFill="1" applyBorder="1" applyAlignment="1">
      <alignment horizontal="center" vertical="center"/>
    </xf>
    <xf numFmtId="170" fontId="1" fillId="5" borderId="32" xfId="3" applyNumberFormat="1" applyFont="1" applyFill="1" applyBorder="1" applyAlignment="1">
      <alignment horizontal="center" vertical="center"/>
    </xf>
    <xf numFmtId="170" fontId="1" fillId="5" borderId="5" xfId="3" applyNumberFormat="1" applyFont="1" applyFill="1" applyBorder="1" applyAlignment="1">
      <alignment horizontal="center" vertical="center"/>
    </xf>
    <xf numFmtId="41" fontId="1" fillId="5" borderId="32" xfId="3" applyFont="1" applyFill="1" applyBorder="1" applyAlignment="1">
      <alignment horizontal="center" vertical="center"/>
    </xf>
    <xf numFmtId="9" fontId="1" fillId="5" borderId="34" xfId="1" applyFont="1" applyFill="1" applyBorder="1" applyAlignment="1">
      <alignment horizontal="center" vertical="center"/>
    </xf>
    <xf numFmtId="16" fontId="0" fillId="0" borderId="30" xfId="0" applyNumberFormat="1" applyBorder="1" applyAlignment="1">
      <alignment horizontal="center" vertical="center"/>
    </xf>
    <xf numFmtId="0" fontId="0" fillId="5" borderId="35" xfId="0" applyFill="1" applyBorder="1" applyAlignment="1">
      <alignment horizontal="center" vertical="center"/>
    </xf>
    <xf numFmtId="170" fontId="1" fillId="5" borderId="5" xfId="3" applyNumberFormat="1" applyFont="1" applyFill="1" applyBorder="1" applyAlignment="1">
      <alignment horizontal="center" vertical="center" wrapText="1"/>
    </xf>
    <xf numFmtId="170" fontId="1" fillId="0" borderId="32" xfId="3" applyNumberFormat="1" applyFont="1" applyBorder="1" applyAlignment="1">
      <alignment horizontal="center" vertical="center"/>
    </xf>
    <xf numFmtId="170" fontId="1" fillId="0" borderId="23" xfId="3" applyNumberFormat="1" applyFont="1" applyFill="1" applyBorder="1" applyAlignment="1">
      <alignment horizontal="center" vertical="center"/>
    </xf>
    <xf numFmtId="170" fontId="1" fillId="0" borderId="5" xfId="3" applyNumberFormat="1" applyFont="1" applyFill="1" applyBorder="1" applyAlignment="1">
      <alignment horizontal="center" vertical="center"/>
    </xf>
    <xf numFmtId="170" fontId="1" fillId="9" borderId="23" xfId="3" applyNumberFormat="1" applyFont="1" applyFill="1" applyBorder="1" applyAlignment="1">
      <alignment horizontal="center" vertical="center"/>
    </xf>
    <xf numFmtId="170" fontId="1" fillId="9" borderId="40" xfId="3" applyNumberFormat="1" applyFont="1" applyFill="1" applyBorder="1" applyAlignment="1">
      <alignment horizontal="center" vertical="center"/>
    </xf>
    <xf numFmtId="16" fontId="0" fillId="5" borderId="30" xfId="0" applyNumberFormat="1" applyFill="1" applyBorder="1" applyAlignment="1">
      <alignment horizontal="center" vertical="center"/>
    </xf>
    <xf numFmtId="41" fontId="1" fillId="5" borderId="31" xfId="3" applyFont="1" applyFill="1" applyBorder="1" applyAlignment="1">
      <alignment horizontal="center" vertical="center"/>
    </xf>
    <xf numFmtId="170" fontId="1" fillId="6" borderId="32" xfId="3" applyNumberFormat="1" applyFont="1" applyFill="1" applyBorder="1" applyAlignment="1">
      <alignment horizontal="center" vertical="center"/>
    </xf>
    <xf numFmtId="41" fontId="1" fillId="9" borderId="2" xfId="3" applyFont="1" applyFill="1" applyBorder="1" applyAlignment="1">
      <alignment horizontal="center" vertical="center"/>
    </xf>
    <xf numFmtId="41" fontId="1" fillId="9" borderId="39" xfId="3" applyFont="1" applyFill="1" applyBorder="1" applyAlignment="1">
      <alignment horizontal="center" vertical="center"/>
    </xf>
    <xf numFmtId="41" fontId="1" fillId="0" borderId="2" xfId="3" applyFont="1" applyFill="1" applyBorder="1" applyAlignment="1">
      <alignment horizontal="center" vertical="center"/>
    </xf>
    <xf numFmtId="41" fontId="1" fillId="0" borderId="31" xfId="3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" fontId="0" fillId="9" borderId="37" xfId="0" applyNumberFormat="1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41" fontId="1" fillId="9" borderId="23" xfId="3" applyFont="1" applyFill="1" applyBorder="1" applyAlignment="1">
      <alignment horizontal="center" vertical="center"/>
    </xf>
    <xf numFmtId="41" fontId="1" fillId="9" borderId="40" xfId="3" applyFont="1" applyFill="1" applyBorder="1" applyAlignment="1">
      <alignment horizontal="center" vertical="center"/>
    </xf>
    <xf numFmtId="170" fontId="1" fillId="0" borderId="40" xfId="3" applyNumberFormat="1" applyFont="1" applyBorder="1" applyAlignment="1">
      <alignment horizontal="center" vertical="center"/>
    </xf>
    <xf numFmtId="41" fontId="1" fillId="0" borderId="39" xfId="3" applyFont="1" applyBorder="1" applyAlignment="1">
      <alignment horizontal="center" vertical="center"/>
    </xf>
    <xf numFmtId="41" fontId="1" fillId="0" borderId="40" xfId="3" applyFont="1" applyBorder="1" applyAlignment="1">
      <alignment horizontal="center" vertical="center"/>
    </xf>
    <xf numFmtId="9" fontId="1" fillId="0" borderId="42" xfId="1" applyFont="1" applyBorder="1" applyAlignment="1">
      <alignment horizontal="center" vertical="center"/>
    </xf>
    <xf numFmtId="9" fontId="1" fillId="9" borderId="17" xfId="1" applyFont="1" applyFill="1" applyBorder="1" applyAlignment="1">
      <alignment horizontal="center" vertical="center"/>
    </xf>
    <xf numFmtId="9" fontId="1" fillId="9" borderId="42" xfId="1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horizontal="center" vertical="center" wrapText="1"/>
    </xf>
    <xf numFmtId="0" fontId="1" fillId="6" borderId="16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1" borderId="23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2" fillId="14" borderId="6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12" fillId="14" borderId="14" xfId="0" applyFont="1" applyFill="1" applyBorder="1" applyAlignment="1">
      <alignment horizontal="center" vertical="center"/>
    </xf>
    <xf numFmtId="14" fontId="12" fillId="13" borderId="48" xfId="0" applyNumberFormat="1" applyFont="1" applyFill="1" applyBorder="1" applyAlignment="1">
      <alignment horizontal="right" vertical="center"/>
    </xf>
    <xf numFmtId="14" fontId="12" fillId="13" borderId="49" xfId="0" applyNumberFormat="1" applyFont="1" applyFill="1" applyBorder="1" applyAlignment="1">
      <alignment horizontal="right" vertical="center"/>
    </xf>
    <xf numFmtId="14" fontId="12" fillId="13" borderId="50" xfId="0" applyNumberFormat="1" applyFont="1" applyFill="1" applyBorder="1" applyAlignment="1">
      <alignment horizontal="right" vertical="center"/>
    </xf>
  </cellXfs>
  <cellStyles count="5">
    <cellStyle name="Hipervínculo" xfId="4" builtinId="8"/>
    <cellStyle name="Millares [0]" xfId="3" builtinId="6"/>
    <cellStyle name="Moneda [0]" xfId="2" builtinId="7"/>
    <cellStyle name="Normal" xfId="0" builtinId="0"/>
    <cellStyle name="Porcentaje" xfId="1" builtinId="5"/>
  </cellStyles>
  <dxfs count="127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2400"/>
              <a:t>Venta</a:t>
            </a:r>
            <a:r>
              <a:rPr lang="es-CL" sz="2400" baseline="0"/>
              <a:t> mensual julio 2026 </a:t>
            </a:r>
            <a:endParaRPr lang="es-CL" sz="2400"/>
          </a:p>
        </c:rich>
      </c:tx>
      <c:layout>
        <c:manualLayout>
          <c:xMode val="edge"/>
          <c:yMode val="edge"/>
          <c:x val="0.40245991685482868"/>
          <c:y val="1.0436191318434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9.1886426538731497E-2"/>
          <c:y val="0.12159369422170126"/>
          <c:w val="0.78055666677988089"/>
          <c:h val="0.71635236566587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Venta!$T$2</c:f>
              <c:strCache>
                <c:ptCount val="1"/>
                <c:pt idx="0">
                  <c:v>Vent total Real</c:v>
                </c:pt>
              </c:strCache>
            </c:strRef>
          </c:tx>
          <c:spPr>
            <a:solidFill>
              <a:srgbClr val="FF0000">
                <a:alpha val="34000"/>
              </a:srgbClr>
            </a:solidFill>
            <a:ln>
              <a:solidFill>
                <a:srgbClr val="0070C0"/>
              </a:solidFill>
            </a:ln>
            <a:effectLst/>
          </c:spPr>
          <c:invertIfNegative val="0"/>
          <c:cat>
            <c:numRef>
              <c:f>Venta!$C$3:$C$64</c:f>
              <c:numCache>
                <c:formatCode>General</c:formatCode>
                <c:ptCount val="62"/>
                <c:pt idx="0" formatCode="d\-mmm">
                  <c:v>46204</c:v>
                </c:pt>
                <c:pt idx="2" formatCode="d\-mmm">
                  <c:v>46205</c:v>
                </c:pt>
                <c:pt idx="4" formatCode="d\-mmm">
                  <c:v>46206</c:v>
                </c:pt>
                <c:pt idx="6" formatCode="d\-mmm">
                  <c:v>46207</c:v>
                </c:pt>
                <c:pt idx="8" formatCode="d\-mmm">
                  <c:v>46208</c:v>
                </c:pt>
                <c:pt idx="10" formatCode="d\-mmm">
                  <c:v>46209</c:v>
                </c:pt>
                <c:pt idx="12" formatCode="d\-mmm">
                  <c:v>46210</c:v>
                </c:pt>
                <c:pt idx="14" formatCode="d\-mmm">
                  <c:v>46211</c:v>
                </c:pt>
                <c:pt idx="16" formatCode="d\-mmm">
                  <c:v>46212</c:v>
                </c:pt>
                <c:pt idx="18" formatCode="d\-mmm">
                  <c:v>46213</c:v>
                </c:pt>
                <c:pt idx="20" formatCode="d\-mmm">
                  <c:v>46214</c:v>
                </c:pt>
                <c:pt idx="22" formatCode="d\-mmm">
                  <c:v>46215</c:v>
                </c:pt>
                <c:pt idx="24" formatCode="d\-mmm">
                  <c:v>46216</c:v>
                </c:pt>
                <c:pt idx="26" formatCode="d\-mmm">
                  <c:v>46217</c:v>
                </c:pt>
                <c:pt idx="28" formatCode="d\-mmm">
                  <c:v>46218</c:v>
                </c:pt>
                <c:pt idx="30" formatCode="d\-mmm">
                  <c:v>46219</c:v>
                </c:pt>
                <c:pt idx="32" formatCode="d\-mmm">
                  <c:v>46220</c:v>
                </c:pt>
                <c:pt idx="34" formatCode="d\-mmm">
                  <c:v>46221</c:v>
                </c:pt>
                <c:pt idx="36" formatCode="d\-mmm">
                  <c:v>46222</c:v>
                </c:pt>
                <c:pt idx="38" formatCode="d\-mmm">
                  <c:v>46223</c:v>
                </c:pt>
                <c:pt idx="40" formatCode="d\-mmm">
                  <c:v>46224</c:v>
                </c:pt>
                <c:pt idx="42" formatCode="d\-mmm">
                  <c:v>46225</c:v>
                </c:pt>
                <c:pt idx="44" formatCode="d\-mmm">
                  <c:v>46226</c:v>
                </c:pt>
                <c:pt idx="46" formatCode="d\-mmm">
                  <c:v>46227</c:v>
                </c:pt>
                <c:pt idx="48" formatCode="d\-mmm">
                  <c:v>46228</c:v>
                </c:pt>
                <c:pt idx="50" formatCode="d\-mmm">
                  <c:v>46229</c:v>
                </c:pt>
                <c:pt idx="52" formatCode="d\-mmm">
                  <c:v>46230</c:v>
                </c:pt>
                <c:pt idx="54" formatCode="d\-mmm">
                  <c:v>46231</c:v>
                </c:pt>
                <c:pt idx="56" formatCode="d\-mmm">
                  <c:v>46232</c:v>
                </c:pt>
                <c:pt idx="58" formatCode="d\-mmm">
                  <c:v>46233</c:v>
                </c:pt>
                <c:pt idx="60" formatCode="d\-mmm">
                  <c:v>46234</c:v>
                </c:pt>
              </c:numCache>
            </c:numRef>
          </c:cat>
          <c:val>
            <c:numRef>
              <c:f>Venta!$T$3:$T$64</c:f>
              <c:numCache>
                <c:formatCode>_ * #,##0.0_ ;_ * \-#,##0.0_ ;_ * "-"_ ;_ @_ </c:formatCode>
                <c:ptCount val="62"/>
                <c:pt idx="0">
                  <c:v>54.514523087252989</c:v>
                </c:pt>
                <c:pt idx="2">
                  <c:v>40.054017138055194</c:v>
                </c:pt>
                <c:pt idx="4">
                  <c:v>48.800784954886801</c:v>
                </c:pt>
                <c:pt idx="6">
                  <c:v>39.189595179257189</c:v>
                </c:pt>
                <c:pt idx="8">
                  <c:v>27.795451485591396</c:v>
                </c:pt>
                <c:pt idx="10">
                  <c:v>40.676332936310494</c:v>
                </c:pt>
                <c:pt idx="12">
                  <c:v>37.71320619947349</c:v>
                </c:pt>
                <c:pt idx="14">
                  <c:v>36.326194314098828</c:v>
                </c:pt>
                <c:pt idx="16">
                  <c:v>41.89949666090773</c:v>
                </c:pt>
                <c:pt idx="18">
                  <c:v>38.326844072158941</c:v>
                </c:pt>
                <c:pt idx="20">
                  <c:v>59.925667952863357</c:v>
                </c:pt>
                <c:pt idx="22">
                  <c:v>65.785362536383957</c:v>
                </c:pt>
                <c:pt idx="24">
                  <c:v>58.785759392261248</c:v>
                </c:pt>
                <c:pt idx="26">
                  <c:v>53.03504007782076</c:v>
                </c:pt>
                <c:pt idx="28">
                  <c:v>42.608643363567218</c:v>
                </c:pt>
                <c:pt idx="30">
                  <c:v>46.712389775409406</c:v>
                </c:pt>
                <c:pt idx="32">
                  <c:v>51.094597919149059</c:v>
                </c:pt>
                <c:pt idx="34">
                  <c:v>43.94386755067503</c:v>
                </c:pt>
                <c:pt idx="36">
                  <c:v>47.420054658490209</c:v>
                </c:pt>
                <c:pt idx="38">
                  <c:v>40.736125394371555</c:v>
                </c:pt>
                <c:pt idx="40">
                  <c:v>38.193033551815937</c:v>
                </c:pt>
                <c:pt idx="42">
                  <c:v>31.811744333333333</c:v>
                </c:pt>
                <c:pt idx="44">
                  <c:v>37.062838093236991</c:v>
                </c:pt>
                <c:pt idx="46">
                  <c:v>31.811744333333333</c:v>
                </c:pt>
                <c:pt idx="48">
                  <c:v>31.811744333333333</c:v>
                </c:pt>
                <c:pt idx="50">
                  <c:v>31.811744333333333</c:v>
                </c:pt>
                <c:pt idx="52">
                  <c:v>31.811744333333333</c:v>
                </c:pt>
                <c:pt idx="54">
                  <c:v>43.357361866574458</c:v>
                </c:pt>
                <c:pt idx="56">
                  <c:v>32.554952981938001</c:v>
                </c:pt>
                <c:pt idx="58">
                  <c:v>41.988253833333331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C-4C7F-97AA-6AF131CB326F}"/>
            </c:ext>
          </c:extLst>
        </c:ser>
        <c:ser>
          <c:idx val="2"/>
          <c:order val="2"/>
          <c:tx>
            <c:strRef>
              <c:f>Venta!$V$2</c:f>
              <c:strCache>
                <c:ptCount val="1"/>
                <c:pt idx="0">
                  <c:v>Prog. Parcial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Venta!$C$3:$C$64</c:f>
              <c:numCache>
                <c:formatCode>General</c:formatCode>
                <c:ptCount val="62"/>
                <c:pt idx="0" formatCode="d\-mmm">
                  <c:v>46204</c:v>
                </c:pt>
                <c:pt idx="2" formatCode="d\-mmm">
                  <c:v>46205</c:v>
                </c:pt>
                <c:pt idx="4" formatCode="d\-mmm">
                  <c:v>46206</c:v>
                </c:pt>
                <c:pt idx="6" formatCode="d\-mmm">
                  <c:v>46207</c:v>
                </c:pt>
                <c:pt idx="8" formatCode="d\-mmm">
                  <c:v>46208</c:v>
                </c:pt>
                <c:pt idx="10" formatCode="d\-mmm">
                  <c:v>46209</c:v>
                </c:pt>
                <c:pt idx="12" formatCode="d\-mmm">
                  <c:v>46210</c:v>
                </c:pt>
                <c:pt idx="14" formatCode="d\-mmm">
                  <c:v>46211</c:v>
                </c:pt>
                <c:pt idx="16" formatCode="d\-mmm">
                  <c:v>46212</c:v>
                </c:pt>
                <c:pt idx="18" formatCode="d\-mmm">
                  <c:v>46213</c:v>
                </c:pt>
                <c:pt idx="20" formatCode="d\-mmm">
                  <c:v>46214</c:v>
                </c:pt>
                <c:pt idx="22" formatCode="d\-mmm">
                  <c:v>46215</c:v>
                </c:pt>
                <c:pt idx="24" formatCode="d\-mmm">
                  <c:v>46216</c:v>
                </c:pt>
                <c:pt idx="26" formatCode="d\-mmm">
                  <c:v>46217</c:v>
                </c:pt>
                <c:pt idx="28" formatCode="d\-mmm">
                  <c:v>46218</c:v>
                </c:pt>
                <c:pt idx="30" formatCode="d\-mmm">
                  <c:v>46219</c:v>
                </c:pt>
                <c:pt idx="32" formatCode="d\-mmm">
                  <c:v>46220</c:v>
                </c:pt>
                <c:pt idx="34" formatCode="d\-mmm">
                  <c:v>46221</c:v>
                </c:pt>
                <c:pt idx="36" formatCode="d\-mmm">
                  <c:v>46222</c:v>
                </c:pt>
                <c:pt idx="38" formatCode="d\-mmm">
                  <c:v>46223</c:v>
                </c:pt>
                <c:pt idx="40" formatCode="d\-mmm">
                  <c:v>46224</c:v>
                </c:pt>
                <c:pt idx="42" formatCode="d\-mmm">
                  <c:v>46225</c:v>
                </c:pt>
                <c:pt idx="44" formatCode="d\-mmm">
                  <c:v>46226</c:v>
                </c:pt>
                <c:pt idx="46" formatCode="d\-mmm">
                  <c:v>46227</c:v>
                </c:pt>
                <c:pt idx="48" formatCode="d\-mmm">
                  <c:v>46228</c:v>
                </c:pt>
                <c:pt idx="50" formatCode="d\-mmm">
                  <c:v>46229</c:v>
                </c:pt>
                <c:pt idx="52" formatCode="d\-mmm">
                  <c:v>46230</c:v>
                </c:pt>
                <c:pt idx="54" formatCode="d\-mmm">
                  <c:v>46231</c:v>
                </c:pt>
                <c:pt idx="56" formatCode="d\-mmm">
                  <c:v>46232</c:v>
                </c:pt>
                <c:pt idx="58" formatCode="d\-mmm">
                  <c:v>46233</c:v>
                </c:pt>
                <c:pt idx="60" formatCode="d\-mmm">
                  <c:v>46234</c:v>
                </c:pt>
              </c:numCache>
            </c:numRef>
          </c:cat>
          <c:val>
            <c:numRef>
              <c:f>Venta!$V$3:$V$64</c:f>
              <c:numCache>
                <c:formatCode>_(* #,##0_);_(* \(#,##0\);_(* "-"_);_(@_)</c:formatCode>
                <c:ptCount val="62"/>
                <c:pt idx="0">
                  <c:v>59.677419354838712</c:v>
                </c:pt>
                <c:pt idx="2">
                  <c:v>59.677419354838712</c:v>
                </c:pt>
                <c:pt idx="4">
                  <c:v>59.677419354838712</c:v>
                </c:pt>
                <c:pt idx="6">
                  <c:v>59.677419354838712</c:v>
                </c:pt>
                <c:pt idx="8">
                  <c:v>59.677419354838712</c:v>
                </c:pt>
                <c:pt idx="10">
                  <c:v>59.677419354838712</c:v>
                </c:pt>
                <c:pt idx="12">
                  <c:v>59.677419354838712</c:v>
                </c:pt>
                <c:pt idx="14">
                  <c:v>59.677419354838712</c:v>
                </c:pt>
                <c:pt idx="16">
                  <c:v>59.677419354838712</c:v>
                </c:pt>
                <c:pt idx="18">
                  <c:v>59.677419354838712</c:v>
                </c:pt>
                <c:pt idx="20">
                  <c:v>59.677419354838712</c:v>
                </c:pt>
                <c:pt idx="22">
                  <c:v>59.677419354838712</c:v>
                </c:pt>
                <c:pt idx="24">
                  <c:v>59.677419354838712</c:v>
                </c:pt>
                <c:pt idx="26">
                  <c:v>59.677419354838712</c:v>
                </c:pt>
                <c:pt idx="28">
                  <c:v>59.677419354838712</c:v>
                </c:pt>
                <c:pt idx="30">
                  <c:v>59.677419354838712</c:v>
                </c:pt>
                <c:pt idx="32">
                  <c:v>59.677419354838712</c:v>
                </c:pt>
                <c:pt idx="34">
                  <c:v>59.677419354838712</c:v>
                </c:pt>
                <c:pt idx="36">
                  <c:v>59.677419354838712</c:v>
                </c:pt>
                <c:pt idx="38">
                  <c:v>59.677419354838712</c:v>
                </c:pt>
                <c:pt idx="40">
                  <c:v>59.677419354838712</c:v>
                </c:pt>
                <c:pt idx="42">
                  <c:v>59.677419354838712</c:v>
                </c:pt>
                <c:pt idx="44">
                  <c:v>59.677419354838712</c:v>
                </c:pt>
                <c:pt idx="46">
                  <c:v>59.677419354838712</c:v>
                </c:pt>
                <c:pt idx="48">
                  <c:v>59.677419354838712</c:v>
                </c:pt>
                <c:pt idx="50">
                  <c:v>59.677419354838712</c:v>
                </c:pt>
                <c:pt idx="52">
                  <c:v>59.677419354838712</c:v>
                </c:pt>
                <c:pt idx="54">
                  <c:v>59.677419354838712</c:v>
                </c:pt>
                <c:pt idx="56">
                  <c:v>59.677419354838712</c:v>
                </c:pt>
                <c:pt idx="58">
                  <c:v>59.677419354838712</c:v>
                </c:pt>
                <c:pt idx="60">
                  <c:v>59.677419354838712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C-4C7F-97AA-6AF131CB3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77525583"/>
        <c:axId val="627432080"/>
      </c:barChart>
      <c:lineChart>
        <c:grouping val="standard"/>
        <c:varyColors val="0"/>
        <c:ser>
          <c:idx val="1"/>
          <c:order val="1"/>
          <c:tx>
            <c:strRef>
              <c:f>Venta!$U$2</c:f>
              <c:strCache>
                <c:ptCount val="1"/>
                <c:pt idx="0">
                  <c:v> Real acumulado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Venta!$C$3:$C$64</c:f>
              <c:numCache>
                <c:formatCode>General</c:formatCode>
                <c:ptCount val="62"/>
                <c:pt idx="0" formatCode="d\-mmm">
                  <c:v>46204</c:v>
                </c:pt>
                <c:pt idx="2" formatCode="d\-mmm">
                  <c:v>46205</c:v>
                </c:pt>
                <c:pt idx="4" formatCode="d\-mmm">
                  <c:v>46206</c:v>
                </c:pt>
                <c:pt idx="6" formatCode="d\-mmm">
                  <c:v>46207</c:v>
                </c:pt>
                <c:pt idx="8" formatCode="d\-mmm">
                  <c:v>46208</c:v>
                </c:pt>
                <c:pt idx="10" formatCode="d\-mmm">
                  <c:v>46209</c:v>
                </c:pt>
                <c:pt idx="12" formatCode="d\-mmm">
                  <c:v>46210</c:v>
                </c:pt>
                <c:pt idx="14" formatCode="d\-mmm">
                  <c:v>46211</c:v>
                </c:pt>
                <c:pt idx="16" formatCode="d\-mmm">
                  <c:v>46212</c:v>
                </c:pt>
                <c:pt idx="18" formatCode="d\-mmm">
                  <c:v>46213</c:v>
                </c:pt>
                <c:pt idx="20" formatCode="d\-mmm">
                  <c:v>46214</c:v>
                </c:pt>
                <c:pt idx="22" formatCode="d\-mmm">
                  <c:v>46215</c:v>
                </c:pt>
                <c:pt idx="24" formatCode="d\-mmm">
                  <c:v>46216</c:v>
                </c:pt>
                <c:pt idx="26" formatCode="d\-mmm">
                  <c:v>46217</c:v>
                </c:pt>
                <c:pt idx="28" formatCode="d\-mmm">
                  <c:v>46218</c:v>
                </c:pt>
                <c:pt idx="30" formatCode="d\-mmm">
                  <c:v>46219</c:v>
                </c:pt>
                <c:pt idx="32" formatCode="d\-mmm">
                  <c:v>46220</c:v>
                </c:pt>
                <c:pt idx="34" formatCode="d\-mmm">
                  <c:v>46221</c:v>
                </c:pt>
                <c:pt idx="36" formatCode="d\-mmm">
                  <c:v>46222</c:v>
                </c:pt>
                <c:pt idx="38" formatCode="d\-mmm">
                  <c:v>46223</c:v>
                </c:pt>
                <c:pt idx="40" formatCode="d\-mmm">
                  <c:v>46224</c:v>
                </c:pt>
                <c:pt idx="42" formatCode="d\-mmm">
                  <c:v>46225</c:v>
                </c:pt>
                <c:pt idx="44" formatCode="d\-mmm">
                  <c:v>46226</c:v>
                </c:pt>
                <c:pt idx="46" formatCode="d\-mmm">
                  <c:v>46227</c:v>
                </c:pt>
                <c:pt idx="48" formatCode="d\-mmm">
                  <c:v>46228</c:v>
                </c:pt>
                <c:pt idx="50" formatCode="d\-mmm">
                  <c:v>46229</c:v>
                </c:pt>
                <c:pt idx="52" formatCode="d\-mmm">
                  <c:v>46230</c:v>
                </c:pt>
                <c:pt idx="54" formatCode="d\-mmm">
                  <c:v>46231</c:v>
                </c:pt>
                <c:pt idx="56" formatCode="d\-mmm">
                  <c:v>46232</c:v>
                </c:pt>
                <c:pt idx="58" formatCode="d\-mmm">
                  <c:v>46233</c:v>
                </c:pt>
                <c:pt idx="60" formatCode="d\-mmm">
                  <c:v>46234</c:v>
                </c:pt>
              </c:numCache>
            </c:numRef>
          </c:cat>
          <c:val>
            <c:numRef>
              <c:f>Venta!$U$3:$U$62</c:f>
              <c:numCache>
                <c:formatCode>_(* #,##0_);_(* \(#,##0\);_(* "-"_);_(@_)</c:formatCode>
                <c:ptCount val="60"/>
                <c:pt idx="0">
                  <c:v>54.514523087252989</c:v>
                </c:pt>
                <c:pt idx="2">
                  <c:v>94.568540225308183</c:v>
                </c:pt>
                <c:pt idx="4">
                  <c:v>143.36932518019498</c:v>
                </c:pt>
                <c:pt idx="6">
                  <c:v>182.55892035945217</c:v>
                </c:pt>
                <c:pt idx="8">
                  <c:v>210.35437184504357</c:v>
                </c:pt>
                <c:pt idx="10">
                  <c:v>251.03070478135407</c:v>
                </c:pt>
                <c:pt idx="12">
                  <c:v>288.74391098082754</c:v>
                </c:pt>
                <c:pt idx="14">
                  <c:v>325.07010529492635</c:v>
                </c:pt>
                <c:pt idx="16">
                  <c:v>366.96960195583409</c:v>
                </c:pt>
                <c:pt idx="18">
                  <c:v>405.29644602799306</c:v>
                </c:pt>
                <c:pt idx="20">
                  <c:v>465.22211398085642</c:v>
                </c:pt>
                <c:pt idx="22">
                  <c:v>531.00747651724032</c:v>
                </c:pt>
                <c:pt idx="24">
                  <c:v>589.79323590950162</c:v>
                </c:pt>
                <c:pt idx="26">
                  <c:v>642.8282759873224</c:v>
                </c:pt>
                <c:pt idx="28">
                  <c:v>685.43691935088964</c:v>
                </c:pt>
                <c:pt idx="30">
                  <c:v>732.14930912629904</c:v>
                </c:pt>
                <c:pt idx="32">
                  <c:v>783.24390704544805</c:v>
                </c:pt>
                <c:pt idx="34">
                  <c:v>827.18777459612306</c:v>
                </c:pt>
                <c:pt idx="36">
                  <c:v>874.60782925461331</c:v>
                </c:pt>
                <c:pt idx="38">
                  <c:v>915.34395464898489</c:v>
                </c:pt>
                <c:pt idx="40">
                  <c:v>953.53698820080081</c:v>
                </c:pt>
                <c:pt idx="42">
                  <c:v>985.34873253413411</c:v>
                </c:pt>
                <c:pt idx="44">
                  <c:v>1022.4115706273711</c:v>
                </c:pt>
                <c:pt idx="46">
                  <c:v>1054.2233149607046</c:v>
                </c:pt>
                <c:pt idx="48">
                  <c:v>1086.0350592940379</c:v>
                </c:pt>
                <c:pt idx="50">
                  <c:v>1117.8468036273712</c:v>
                </c:pt>
                <c:pt idx="52">
                  <c:v>1149.6585479607045</c:v>
                </c:pt>
                <c:pt idx="54">
                  <c:v>1193.0159098272788</c:v>
                </c:pt>
                <c:pt idx="56">
                  <c:v>1225.5708628092168</c:v>
                </c:pt>
                <c:pt idx="58">
                  <c:v>1267.5591166425502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6C-4C7F-97AA-6AF131CB326F}"/>
            </c:ext>
          </c:extLst>
        </c:ser>
        <c:ser>
          <c:idx val="3"/>
          <c:order val="3"/>
          <c:tx>
            <c:strRef>
              <c:f>Venta!$W$2</c:f>
              <c:strCache>
                <c:ptCount val="1"/>
                <c:pt idx="0">
                  <c:v>Prog. Acum.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Venta!$C$3:$C$64</c:f>
              <c:numCache>
                <c:formatCode>General</c:formatCode>
                <c:ptCount val="62"/>
                <c:pt idx="0" formatCode="d\-mmm">
                  <c:v>46204</c:v>
                </c:pt>
                <c:pt idx="2" formatCode="d\-mmm">
                  <c:v>46205</c:v>
                </c:pt>
                <c:pt idx="4" formatCode="d\-mmm">
                  <c:v>46206</c:v>
                </c:pt>
                <c:pt idx="6" formatCode="d\-mmm">
                  <c:v>46207</c:v>
                </c:pt>
                <c:pt idx="8" formatCode="d\-mmm">
                  <c:v>46208</c:v>
                </c:pt>
                <c:pt idx="10" formatCode="d\-mmm">
                  <c:v>46209</c:v>
                </c:pt>
                <c:pt idx="12" formatCode="d\-mmm">
                  <c:v>46210</c:v>
                </c:pt>
                <c:pt idx="14" formatCode="d\-mmm">
                  <c:v>46211</c:v>
                </c:pt>
                <c:pt idx="16" formatCode="d\-mmm">
                  <c:v>46212</c:v>
                </c:pt>
                <c:pt idx="18" formatCode="d\-mmm">
                  <c:v>46213</c:v>
                </c:pt>
                <c:pt idx="20" formatCode="d\-mmm">
                  <c:v>46214</c:v>
                </c:pt>
                <c:pt idx="22" formatCode="d\-mmm">
                  <c:v>46215</c:v>
                </c:pt>
                <c:pt idx="24" formatCode="d\-mmm">
                  <c:v>46216</c:v>
                </c:pt>
                <c:pt idx="26" formatCode="d\-mmm">
                  <c:v>46217</c:v>
                </c:pt>
                <c:pt idx="28" formatCode="d\-mmm">
                  <c:v>46218</c:v>
                </c:pt>
                <c:pt idx="30" formatCode="d\-mmm">
                  <c:v>46219</c:v>
                </c:pt>
                <c:pt idx="32" formatCode="d\-mmm">
                  <c:v>46220</c:v>
                </c:pt>
                <c:pt idx="34" formatCode="d\-mmm">
                  <c:v>46221</c:v>
                </c:pt>
                <c:pt idx="36" formatCode="d\-mmm">
                  <c:v>46222</c:v>
                </c:pt>
                <c:pt idx="38" formatCode="d\-mmm">
                  <c:v>46223</c:v>
                </c:pt>
                <c:pt idx="40" formatCode="d\-mmm">
                  <c:v>46224</c:v>
                </c:pt>
                <c:pt idx="42" formatCode="d\-mmm">
                  <c:v>46225</c:v>
                </c:pt>
                <c:pt idx="44" formatCode="d\-mmm">
                  <c:v>46226</c:v>
                </c:pt>
                <c:pt idx="46" formatCode="d\-mmm">
                  <c:v>46227</c:v>
                </c:pt>
                <c:pt idx="48" formatCode="d\-mmm">
                  <c:v>46228</c:v>
                </c:pt>
                <c:pt idx="50" formatCode="d\-mmm">
                  <c:v>46229</c:v>
                </c:pt>
                <c:pt idx="52" formatCode="d\-mmm">
                  <c:v>46230</c:v>
                </c:pt>
                <c:pt idx="54" formatCode="d\-mmm">
                  <c:v>46231</c:v>
                </c:pt>
                <c:pt idx="56" formatCode="d\-mmm">
                  <c:v>46232</c:v>
                </c:pt>
                <c:pt idx="58" formatCode="d\-mmm">
                  <c:v>46233</c:v>
                </c:pt>
                <c:pt idx="60" formatCode="d\-mmm">
                  <c:v>46234</c:v>
                </c:pt>
              </c:numCache>
            </c:numRef>
          </c:cat>
          <c:val>
            <c:numRef>
              <c:f>Venta!$W$3:$W$64</c:f>
              <c:numCache>
                <c:formatCode>_(* #,##0_);_(* \(#,##0\);_(* "-"_);_(@_)</c:formatCode>
                <c:ptCount val="62"/>
                <c:pt idx="0">
                  <c:v>59.677419354838712</c:v>
                </c:pt>
                <c:pt idx="2">
                  <c:v>119.35483870967742</c:v>
                </c:pt>
                <c:pt idx="4">
                  <c:v>179.03225806451613</c:v>
                </c:pt>
                <c:pt idx="6">
                  <c:v>238.70967741935485</c:v>
                </c:pt>
                <c:pt idx="8">
                  <c:v>298.38709677419354</c:v>
                </c:pt>
                <c:pt idx="10">
                  <c:v>358.06451612903226</c:v>
                </c:pt>
                <c:pt idx="12">
                  <c:v>417.74193548387098</c:v>
                </c:pt>
                <c:pt idx="14">
                  <c:v>477.41935483870969</c:v>
                </c:pt>
                <c:pt idx="16">
                  <c:v>537.09677419354841</c:v>
                </c:pt>
                <c:pt idx="18">
                  <c:v>596.77419354838707</c:v>
                </c:pt>
                <c:pt idx="20">
                  <c:v>656.45161290322574</c:v>
                </c:pt>
                <c:pt idx="22">
                  <c:v>716.1290322580644</c:v>
                </c:pt>
                <c:pt idx="24">
                  <c:v>775.80645161290306</c:v>
                </c:pt>
                <c:pt idx="26">
                  <c:v>835.48387096774172</c:v>
                </c:pt>
                <c:pt idx="28">
                  <c:v>895.16129032258038</c:v>
                </c:pt>
                <c:pt idx="30">
                  <c:v>954.83870967741905</c:v>
                </c:pt>
                <c:pt idx="32">
                  <c:v>1014.5161290322577</c:v>
                </c:pt>
                <c:pt idx="34">
                  <c:v>1074.1935483870964</c:v>
                </c:pt>
                <c:pt idx="36">
                  <c:v>1133.8709677419351</c:v>
                </c:pt>
                <c:pt idx="38">
                  <c:v>1193.5483870967739</c:v>
                </c:pt>
                <c:pt idx="40">
                  <c:v>1253.2258064516127</c:v>
                </c:pt>
                <c:pt idx="42">
                  <c:v>1312.9032258064515</c:v>
                </c:pt>
                <c:pt idx="44">
                  <c:v>1372.5806451612902</c:v>
                </c:pt>
                <c:pt idx="46">
                  <c:v>1432.258064516129</c:v>
                </c:pt>
                <c:pt idx="48">
                  <c:v>1491.9354838709678</c:v>
                </c:pt>
                <c:pt idx="50">
                  <c:v>1551.6129032258066</c:v>
                </c:pt>
                <c:pt idx="52">
                  <c:v>1611.2903225806454</c:v>
                </c:pt>
                <c:pt idx="54">
                  <c:v>1670.9677419354841</c:v>
                </c:pt>
                <c:pt idx="56">
                  <c:v>1730.6451612903229</c:v>
                </c:pt>
                <c:pt idx="58">
                  <c:v>1790.3225806451617</c:v>
                </c:pt>
                <c:pt idx="60">
                  <c:v>1850.0000000000005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6C-4C7F-97AA-6AF131CB3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461551"/>
        <c:axId val="627435920"/>
      </c:lineChart>
      <c:dateAx>
        <c:axId val="1377525583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627432080"/>
        <c:crosses val="autoZero"/>
        <c:auto val="1"/>
        <c:lblOffset val="100"/>
        <c:baseTimeUnit val="days"/>
      </c:dateAx>
      <c:valAx>
        <c:axId val="62743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7525583"/>
        <c:crosses val="autoZero"/>
        <c:crossBetween val="between"/>
      </c:valAx>
      <c:valAx>
        <c:axId val="627435920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7461551"/>
        <c:crosses val="max"/>
        <c:crossBetween val="between"/>
      </c:valAx>
      <c:dateAx>
        <c:axId val="1377461551"/>
        <c:scaling>
          <c:orientation val="minMax"/>
        </c:scaling>
        <c:delete val="1"/>
        <c:axPos val="b"/>
        <c:numFmt formatCode="d\-mmm" sourceLinked="1"/>
        <c:majorTickMark val="out"/>
        <c:minorTickMark val="none"/>
        <c:tickLblPos val="nextTo"/>
        <c:crossAx val="62743592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 sz="2400"/>
              <a:t>Cumplimiento del Turno </a:t>
            </a:r>
            <a:r>
              <a:rPr lang="es-CL" sz="2400" baseline="0"/>
              <a:t> en la venta</a:t>
            </a:r>
            <a:endParaRPr lang="es-CL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1433635238616323"/>
          <c:y val="0.16705972110442713"/>
          <c:w val="0.79359548788024614"/>
          <c:h val="0.574312271969753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Venta!$G$2</c:f>
              <c:strCache>
                <c:ptCount val="1"/>
                <c:pt idx="0">
                  <c:v>Venta Real T°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Venta!$C$59:$D$72</c:f>
              <c:multiLvlStrCache>
                <c:ptCount val="14"/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A</c:v>
                  </c:pt>
                  <c:pt idx="5">
                    <c:v>B</c:v>
                  </c:pt>
                  <c:pt idx="6">
                    <c:v>A</c:v>
                  </c:pt>
                  <c:pt idx="7">
                    <c:v>B</c:v>
                  </c:pt>
                  <c:pt idx="8">
                    <c:v>A</c:v>
                  </c:pt>
                  <c:pt idx="9">
                    <c:v>B</c:v>
                  </c:pt>
                  <c:pt idx="10">
                    <c:v>A</c:v>
                  </c:pt>
                  <c:pt idx="11">
                    <c:v>B</c:v>
                  </c:pt>
                  <c:pt idx="12">
                    <c:v>A</c:v>
                  </c:pt>
                  <c:pt idx="13">
                    <c:v>B</c:v>
                  </c:pt>
                </c:lvl>
                <c:lvl>
                  <c:pt idx="0">
                    <c:v>29-jul</c:v>
                  </c:pt>
                  <c:pt idx="2">
                    <c:v>30-jul</c:v>
                  </c:pt>
                  <c:pt idx="4">
                    <c:v>31-jul</c:v>
                  </c:pt>
                  <c:pt idx="6">
                    <c:v>01-ago</c:v>
                  </c:pt>
                  <c:pt idx="8">
                    <c:v>02-ago</c:v>
                  </c:pt>
                  <c:pt idx="10">
                    <c:v>03-ago</c:v>
                  </c:pt>
                  <c:pt idx="12">
                    <c:v>04-ago</c:v>
                  </c:pt>
                </c:lvl>
              </c:multiLvlStrCache>
            </c:multiLvlStrRef>
          </c:cat>
          <c:val>
            <c:numRef>
              <c:f>Venta!$G$59:$G$62</c:f>
              <c:numCache>
                <c:formatCode>_ * #,##0.0_ ;_ * \-#,##0.0_ ;_ * "-"_ ;_ @_ </c:formatCode>
                <c:ptCount val="4"/>
                <c:pt idx="0">
                  <c:v>8.7324141486046702</c:v>
                </c:pt>
                <c:pt idx="1">
                  <c:v>7.9892054999999997</c:v>
                </c:pt>
                <c:pt idx="2">
                  <c:v>7.9892054999999997</c:v>
                </c:pt>
                <c:pt idx="3">
                  <c:v>18.165714999999999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8-47F9-BA5F-5D256897EA9D}"/>
            </c:ext>
          </c:extLst>
        </c:ser>
        <c:ser>
          <c:idx val="1"/>
          <c:order val="1"/>
          <c:tx>
            <c:strRef>
              <c:f>Venta!$J$2</c:f>
              <c:strCache>
                <c:ptCount val="1"/>
                <c:pt idx="0">
                  <c:v>Vent Prog. T°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Venta!$C$59:$D$72</c:f>
              <c:multiLvlStrCache>
                <c:ptCount val="14"/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A</c:v>
                  </c:pt>
                  <c:pt idx="5">
                    <c:v>B</c:v>
                  </c:pt>
                  <c:pt idx="6">
                    <c:v>A</c:v>
                  </c:pt>
                  <c:pt idx="7">
                    <c:v>B</c:v>
                  </c:pt>
                  <c:pt idx="8">
                    <c:v>A</c:v>
                  </c:pt>
                  <c:pt idx="9">
                    <c:v>B</c:v>
                  </c:pt>
                  <c:pt idx="10">
                    <c:v>A</c:v>
                  </c:pt>
                  <c:pt idx="11">
                    <c:v>B</c:v>
                  </c:pt>
                  <c:pt idx="12">
                    <c:v>A</c:v>
                  </c:pt>
                  <c:pt idx="13">
                    <c:v>B</c:v>
                  </c:pt>
                </c:lvl>
                <c:lvl>
                  <c:pt idx="0">
                    <c:v>29-jul</c:v>
                  </c:pt>
                  <c:pt idx="2">
                    <c:v>30-jul</c:v>
                  </c:pt>
                  <c:pt idx="4">
                    <c:v>31-jul</c:v>
                  </c:pt>
                  <c:pt idx="6">
                    <c:v>01-ago</c:v>
                  </c:pt>
                  <c:pt idx="8">
                    <c:v>02-ago</c:v>
                  </c:pt>
                  <c:pt idx="10">
                    <c:v>03-ago</c:v>
                  </c:pt>
                  <c:pt idx="12">
                    <c:v>04-ago</c:v>
                  </c:pt>
                </c:lvl>
              </c:multiLvlStrCache>
            </c:multiLvlStrRef>
          </c:cat>
          <c:val>
            <c:numRef>
              <c:f>Venta!$J$59:$J$62</c:f>
              <c:numCache>
                <c:formatCode>_(* #,##0_);_(* \(#,##0\);_(* "-"_);_(@_)</c:formatCode>
                <c:ptCount val="4"/>
                <c:pt idx="0">
                  <c:v>23.666666666666668</c:v>
                </c:pt>
                <c:pt idx="1">
                  <c:v>23.666666666666668</c:v>
                </c:pt>
                <c:pt idx="2">
                  <c:v>23.666666666666668</c:v>
                </c:pt>
                <c:pt idx="3">
                  <c:v>23.666666666666668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88-47F9-BA5F-5D256897E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296642320"/>
        <c:axId val="1719460912"/>
      </c:barChart>
      <c:lineChart>
        <c:grouping val="standard"/>
        <c:varyColors val="0"/>
        <c:ser>
          <c:idx val="2"/>
          <c:order val="2"/>
          <c:tx>
            <c:strRef>
              <c:f>Venta!$M$2</c:f>
              <c:strCache>
                <c:ptCount val="1"/>
                <c:pt idx="0">
                  <c:v>% Cumpl. T° $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Venta!$C$59:$D$72</c:f>
              <c:multiLvlStrCache>
                <c:ptCount val="14"/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A</c:v>
                  </c:pt>
                  <c:pt idx="5">
                    <c:v>B</c:v>
                  </c:pt>
                  <c:pt idx="6">
                    <c:v>A</c:v>
                  </c:pt>
                  <c:pt idx="7">
                    <c:v>B</c:v>
                  </c:pt>
                  <c:pt idx="8">
                    <c:v>A</c:v>
                  </c:pt>
                  <c:pt idx="9">
                    <c:v>B</c:v>
                  </c:pt>
                  <c:pt idx="10">
                    <c:v>A</c:v>
                  </c:pt>
                  <c:pt idx="11">
                    <c:v>B</c:v>
                  </c:pt>
                  <c:pt idx="12">
                    <c:v>A</c:v>
                  </c:pt>
                  <c:pt idx="13">
                    <c:v>B</c:v>
                  </c:pt>
                </c:lvl>
                <c:lvl>
                  <c:pt idx="0">
                    <c:v>29-jul</c:v>
                  </c:pt>
                  <c:pt idx="2">
                    <c:v>30-jul</c:v>
                  </c:pt>
                  <c:pt idx="4">
                    <c:v>31-jul</c:v>
                  </c:pt>
                  <c:pt idx="6">
                    <c:v>01-ago</c:v>
                  </c:pt>
                  <c:pt idx="8">
                    <c:v>02-ago</c:v>
                  </c:pt>
                  <c:pt idx="10">
                    <c:v>03-ago</c:v>
                  </c:pt>
                  <c:pt idx="12">
                    <c:v>04-ago</c:v>
                  </c:pt>
                </c:lvl>
              </c:multiLvlStrCache>
            </c:multiLvlStrRef>
          </c:cat>
          <c:val>
            <c:numRef>
              <c:f>Venta!$M$59:$M$62</c:f>
              <c:numCache>
                <c:formatCode>0%</c:formatCode>
                <c:ptCount val="4"/>
                <c:pt idx="0">
                  <c:v>0.36897524571569029</c:v>
                </c:pt>
                <c:pt idx="1">
                  <c:v>0.33757206338028167</c:v>
                </c:pt>
                <c:pt idx="2">
                  <c:v>0.33757206338028167</c:v>
                </c:pt>
                <c:pt idx="3">
                  <c:v>0.76756542253521121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88-47F9-BA5F-5D256897E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642784"/>
        <c:axId val="1719461392"/>
      </c:lineChart>
      <c:catAx>
        <c:axId val="29664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19460912"/>
        <c:crosses val="autoZero"/>
        <c:auto val="1"/>
        <c:lblAlgn val="ctr"/>
        <c:lblOffset val="100"/>
        <c:noMultiLvlLbl val="0"/>
      </c:catAx>
      <c:valAx>
        <c:axId val="17194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96642320"/>
        <c:crosses val="autoZero"/>
        <c:crossBetween val="between"/>
      </c:valAx>
      <c:valAx>
        <c:axId val="1719461392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96642784"/>
        <c:crosses val="max"/>
        <c:crossBetween val="between"/>
      </c:valAx>
      <c:catAx>
        <c:axId val="296642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9461392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553993901958332"/>
          <c:y val="0.89584566862663484"/>
          <c:w val="0.50892012196083336"/>
          <c:h val="8.8200452738414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L" sz="2400"/>
              <a:t>Cumplimiento del Turno en las horas efectivas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1433632791839528"/>
          <c:y val="0.12451602076775607"/>
          <c:w val="0.79359548788024614"/>
          <c:h val="0.574312271969753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Venta!$O$2</c:f>
              <c:strCache>
                <c:ptCount val="1"/>
                <c:pt idx="0">
                  <c:v>H. efect. 3500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Venta!$C$59:$D$72</c:f>
              <c:multiLvlStrCache>
                <c:ptCount val="14"/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A</c:v>
                  </c:pt>
                  <c:pt idx="5">
                    <c:v>B</c:v>
                  </c:pt>
                  <c:pt idx="6">
                    <c:v>A</c:v>
                  </c:pt>
                  <c:pt idx="7">
                    <c:v>B</c:v>
                  </c:pt>
                  <c:pt idx="8">
                    <c:v>A</c:v>
                  </c:pt>
                  <c:pt idx="9">
                    <c:v>B</c:v>
                  </c:pt>
                  <c:pt idx="10">
                    <c:v>A</c:v>
                  </c:pt>
                  <c:pt idx="11">
                    <c:v>B</c:v>
                  </c:pt>
                  <c:pt idx="12">
                    <c:v>A</c:v>
                  </c:pt>
                  <c:pt idx="13">
                    <c:v>B</c:v>
                  </c:pt>
                </c:lvl>
                <c:lvl>
                  <c:pt idx="0">
                    <c:v>29-jul</c:v>
                  </c:pt>
                  <c:pt idx="2">
                    <c:v>30-jul</c:v>
                  </c:pt>
                  <c:pt idx="4">
                    <c:v>31-jul</c:v>
                  </c:pt>
                  <c:pt idx="6">
                    <c:v>01-ago</c:v>
                  </c:pt>
                  <c:pt idx="8">
                    <c:v>02-ago</c:v>
                  </c:pt>
                  <c:pt idx="10">
                    <c:v>03-ago</c:v>
                  </c:pt>
                  <c:pt idx="12">
                    <c:v>04-ago</c:v>
                  </c:pt>
                </c:lvl>
              </c:multiLvlStrCache>
            </c:multiLvlStrRef>
          </c:cat>
          <c:val>
            <c:numRef>
              <c:f>Venta!$O$59:$O$62</c:f>
              <c:numCache>
                <c:formatCode>h:mm;\ ;</c:formatCode>
                <c:ptCount val="4"/>
                <c:pt idx="0">
                  <c:v>0.36458333333333331</c:v>
                </c:pt>
                <c:pt idx="1">
                  <c:v>0.40277777777777779</c:v>
                </c:pt>
                <c:pt idx="2">
                  <c:v>0.41666666666666663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0B-4E5A-BDE3-4E61AAA7ABAC}"/>
            </c:ext>
          </c:extLst>
        </c:ser>
        <c:ser>
          <c:idx val="1"/>
          <c:order val="1"/>
          <c:tx>
            <c:strRef>
              <c:f>Venta!$P$2</c:f>
              <c:strCache>
                <c:ptCount val="1"/>
                <c:pt idx="0">
                  <c:v>H. efect. 3700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Venta!$C$59:$D$72</c:f>
              <c:multiLvlStrCache>
                <c:ptCount val="14"/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A</c:v>
                  </c:pt>
                  <c:pt idx="5">
                    <c:v>B</c:v>
                  </c:pt>
                  <c:pt idx="6">
                    <c:v>A</c:v>
                  </c:pt>
                  <c:pt idx="7">
                    <c:v>B</c:v>
                  </c:pt>
                  <c:pt idx="8">
                    <c:v>A</c:v>
                  </c:pt>
                  <c:pt idx="9">
                    <c:v>B</c:v>
                  </c:pt>
                  <c:pt idx="10">
                    <c:v>A</c:v>
                  </c:pt>
                  <c:pt idx="11">
                    <c:v>B</c:v>
                  </c:pt>
                  <c:pt idx="12">
                    <c:v>A</c:v>
                  </c:pt>
                  <c:pt idx="13">
                    <c:v>B</c:v>
                  </c:pt>
                </c:lvl>
                <c:lvl>
                  <c:pt idx="0">
                    <c:v>29-jul</c:v>
                  </c:pt>
                  <c:pt idx="2">
                    <c:v>30-jul</c:v>
                  </c:pt>
                  <c:pt idx="4">
                    <c:v>31-jul</c:v>
                  </c:pt>
                  <c:pt idx="6">
                    <c:v>01-ago</c:v>
                  </c:pt>
                  <c:pt idx="8">
                    <c:v>02-ago</c:v>
                  </c:pt>
                  <c:pt idx="10">
                    <c:v>03-ago</c:v>
                  </c:pt>
                  <c:pt idx="12">
                    <c:v>04-ago</c:v>
                  </c:pt>
                </c:lvl>
              </c:multiLvlStrCache>
            </c:multiLvlStrRef>
          </c:cat>
          <c:val>
            <c:numRef>
              <c:f>Venta!$P$59:$P$60</c:f>
              <c:numCache>
                <c:formatCode>h:mm;\ ;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0B-4E5A-BDE3-4E61AAA7A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296642320"/>
        <c:axId val="1719460912"/>
      </c:barChart>
      <c:lineChart>
        <c:grouping val="standard"/>
        <c:varyColors val="0"/>
        <c:ser>
          <c:idx val="2"/>
          <c:order val="2"/>
          <c:tx>
            <c:strRef>
              <c:f>Venta!$Q$2</c:f>
              <c:strCache>
                <c:ptCount val="1"/>
                <c:pt idx="0">
                  <c:v>% Cumpl. HE T°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1765527745958156E-2"/>
                  <c:y val="-9.30179533668472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56-4A2D-BCD7-73AB0EC1319B}"/>
                </c:ext>
              </c:extLst>
            </c:dLbl>
            <c:dLbl>
              <c:idx val="1"/>
              <c:layout>
                <c:manualLayout>
                  <c:x val="-2.6795712316617561E-2"/>
                  <c:y val="-7.59636412454471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E56-4A2D-BCD7-73AB0EC1319B}"/>
                </c:ext>
              </c:extLst>
            </c:dLbl>
            <c:dLbl>
              <c:idx val="2"/>
              <c:layout>
                <c:manualLayout>
                  <c:x val="5.5905923779939566E-3"/>
                  <c:y val="-9.32605546293294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6F-4CFB-A5C7-54A0E5712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Venta!$C$59:$D$72</c:f>
              <c:multiLvlStrCache>
                <c:ptCount val="14"/>
                <c:lvl>
                  <c:pt idx="0">
                    <c:v>A</c:v>
                  </c:pt>
                  <c:pt idx="1">
                    <c:v>B</c:v>
                  </c:pt>
                  <c:pt idx="2">
                    <c:v>A</c:v>
                  </c:pt>
                  <c:pt idx="3">
                    <c:v>B</c:v>
                  </c:pt>
                  <c:pt idx="4">
                    <c:v>A</c:v>
                  </c:pt>
                  <c:pt idx="5">
                    <c:v>B</c:v>
                  </c:pt>
                  <c:pt idx="6">
                    <c:v>A</c:v>
                  </c:pt>
                  <c:pt idx="7">
                    <c:v>B</c:v>
                  </c:pt>
                  <c:pt idx="8">
                    <c:v>A</c:v>
                  </c:pt>
                  <c:pt idx="9">
                    <c:v>B</c:v>
                  </c:pt>
                  <c:pt idx="10">
                    <c:v>A</c:v>
                  </c:pt>
                  <c:pt idx="11">
                    <c:v>B</c:v>
                  </c:pt>
                  <c:pt idx="12">
                    <c:v>A</c:v>
                  </c:pt>
                  <c:pt idx="13">
                    <c:v>B</c:v>
                  </c:pt>
                </c:lvl>
                <c:lvl>
                  <c:pt idx="0">
                    <c:v>29-jul</c:v>
                  </c:pt>
                  <c:pt idx="2">
                    <c:v>30-jul</c:v>
                  </c:pt>
                  <c:pt idx="4">
                    <c:v>31-jul</c:v>
                  </c:pt>
                  <c:pt idx="6">
                    <c:v>01-ago</c:v>
                  </c:pt>
                  <c:pt idx="8">
                    <c:v>02-ago</c:v>
                  </c:pt>
                  <c:pt idx="10">
                    <c:v>03-ago</c:v>
                  </c:pt>
                  <c:pt idx="12">
                    <c:v>04-ago</c:v>
                  </c:pt>
                </c:lvl>
              </c:multiLvlStrCache>
            </c:multiLvlStrRef>
          </c:cat>
          <c:val>
            <c:numRef>
              <c:f>Venta!$Q$59:$Q$62</c:f>
              <c:numCache>
                <c:formatCode>h:mm;\ ;</c:formatCode>
                <c:ptCount val="4"/>
                <c:pt idx="0">
                  <c:v>0.18229166666666666</c:v>
                </c:pt>
                <c:pt idx="1">
                  <c:v>0.2013888888888889</c:v>
                </c:pt>
                <c:pt idx="2">
                  <c:v>0.20833333333333331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0B-4E5A-BDE3-4E61AAA7A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642784"/>
        <c:axId val="1719461392"/>
      </c:lineChart>
      <c:catAx>
        <c:axId val="296642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19460912"/>
        <c:crosses val="autoZero"/>
        <c:auto val="1"/>
        <c:lblAlgn val="ctr"/>
        <c:lblOffset val="100"/>
        <c:noMultiLvlLbl val="0"/>
      </c:catAx>
      <c:valAx>
        <c:axId val="171946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;\ 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96642320"/>
        <c:crosses val="autoZero"/>
        <c:crossBetween val="between"/>
      </c:valAx>
      <c:valAx>
        <c:axId val="1719461392"/>
        <c:scaling>
          <c:orientation val="minMax"/>
        </c:scaling>
        <c:delete val="0"/>
        <c:axPos val="r"/>
        <c:numFmt formatCode="h:mm;\ 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96642784"/>
        <c:crosses val="max"/>
        <c:crossBetween val="between"/>
      </c:valAx>
      <c:catAx>
        <c:axId val="296642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19461392"/>
        <c:crosses val="autoZero"/>
        <c:auto val="1"/>
        <c:lblAlgn val="ctr"/>
        <c:lblOffset val="100"/>
        <c:noMultiLvlLbl val="0"/>
      </c:cat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203019</xdr:colOff>
      <xdr:row>0</xdr:row>
      <xdr:rowOff>0</xdr:rowOff>
    </xdr:from>
    <xdr:to>
      <xdr:col>5</xdr:col>
      <xdr:colOff>993049</xdr:colOff>
      <xdr:row>3</xdr:row>
      <xdr:rowOff>168485</xdr:rowOff>
    </xdr:to>
    <xdr:pic>
      <xdr:nvPicPr>
        <xdr:cNvPr id="4" name="Imagen 3" descr="Jobs at Aura Ingeniería | iMineros">
          <a:extLst>
            <a:ext uri="{FF2B5EF4-FFF2-40B4-BE49-F238E27FC236}">
              <a16:creationId xmlns:a16="http://schemas.microsoft.com/office/drawing/2014/main" id="{58D4AF9E-0E6E-F40A-5884-7A2F28349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9126" y="0"/>
          <a:ext cx="2632710" cy="94790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203019</xdr:colOff>
      <xdr:row>0</xdr:row>
      <xdr:rowOff>0</xdr:rowOff>
    </xdr:from>
    <xdr:to>
      <xdr:col>5</xdr:col>
      <xdr:colOff>993049</xdr:colOff>
      <xdr:row>3</xdr:row>
      <xdr:rowOff>172295</xdr:rowOff>
    </xdr:to>
    <xdr:pic>
      <xdr:nvPicPr>
        <xdr:cNvPr id="2" name="Imagen 1" descr="Jobs at Aura Ingeniería | iMineros">
          <a:extLst>
            <a:ext uri="{FF2B5EF4-FFF2-40B4-BE49-F238E27FC236}">
              <a16:creationId xmlns:a16="http://schemas.microsoft.com/office/drawing/2014/main" id="{58FFB6ED-6693-4E3A-A61A-0F18529CD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646589" cy="9609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203019</xdr:colOff>
      <xdr:row>0</xdr:row>
      <xdr:rowOff>0</xdr:rowOff>
    </xdr:from>
    <xdr:to>
      <xdr:col>5</xdr:col>
      <xdr:colOff>993049</xdr:colOff>
      <xdr:row>3</xdr:row>
      <xdr:rowOff>168485</xdr:rowOff>
    </xdr:to>
    <xdr:pic>
      <xdr:nvPicPr>
        <xdr:cNvPr id="2" name="Imagen 1" descr="Jobs at Aura Ingeniería | iMineros">
          <a:extLst>
            <a:ext uri="{FF2B5EF4-FFF2-40B4-BE49-F238E27FC236}">
              <a16:creationId xmlns:a16="http://schemas.microsoft.com/office/drawing/2014/main" id="{0738B9B9-91C6-471C-893F-6D1E34ADA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646589" cy="96096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1314451</xdr:colOff>
      <xdr:row>27</xdr:row>
      <xdr:rowOff>28575</xdr:rowOff>
    </xdr:from>
    <xdr:to>
      <xdr:col>14</xdr:col>
      <xdr:colOff>2857501</xdr:colOff>
      <xdr:row>27</xdr:row>
      <xdr:rowOff>438919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9D5D93-D835-08DB-B29B-1D78B431A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68676" y="4667250"/>
          <a:ext cx="1543050" cy="4065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1387668</xdr:colOff>
      <xdr:row>25</xdr:row>
      <xdr:rowOff>17228</xdr:rowOff>
    </xdr:from>
    <xdr:to>
      <xdr:col>14</xdr:col>
      <xdr:colOff>2934528</xdr:colOff>
      <xdr:row>25</xdr:row>
      <xdr:rowOff>439002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74EF81-931F-4581-AB75-3964217DB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38994" y="3711271"/>
          <a:ext cx="1546860" cy="4179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1119596</xdr:colOff>
      <xdr:row>28</xdr:row>
      <xdr:rowOff>36762</xdr:rowOff>
    </xdr:from>
    <xdr:to>
      <xdr:col>14</xdr:col>
      <xdr:colOff>2641824</xdr:colOff>
      <xdr:row>28</xdr:row>
      <xdr:rowOff>435873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071E28-D632-677D-1285-183181A12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83346" y="6091941"/>
          <a:ext cx="1514608" cy="389586"/>
        </a:xfrm>
        <a:prstGeom prst="rect">
          <a:avLst/>
        </a:prstGeom>
      </xdr:spPr>
    </xdr:pic>
    <xdr:clientData/>
  </xdr:twoCellAnchor>
  <xdr:twoCellAnchor editAs="oneCell">
    <xdr:from>
      <xdr:col>14</xdr:col>
      <xdr:colOff>1266265</xdr:colOff>
      <xdr:row>39</xdr:row>
      <xdr:rowOff>89647</xdr:rowOff>
    </xdr:from>
    <xdr:to>
      <xdr:col>14</xdr:col>
      <xdr:colOff>2773253</xdr:colOff>
      <xdr:row>40</xdr:row>
      <xdr:rowOff>1190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CC6C266-9D66-4641-9964-C70C2CEFD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22395" y="3770107"/>
          <a:ext cx="1505083" cy="3839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1266265</xdr:colOff>
      <xdr:row>25</xdr:row>
      <xdr:rowOff>89647</xdr:rowOff>
    </xdr:from>
    <xdr:to>
      <xdr:col>14</xdr:col>
      <xdr:colOff>2765633</xdr:colOff>
      <xdr:row>26</xdr:row>
      <xdr:rowOff>1190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497EB79-1CCF-49AA-A1E0-874EDB0E7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24412" y="3787588"/>
          <a:ext cx="1510798" cy="393396"/>
        </a:xfrm>
        <a:prstGeom prst="rect">
          <a:avLst/>
        </a:prstGeom>
      </xdr:spPr>
    </xdr:pic>
    <xdr:clientData/>
  </xdr:twoCellAnchor>
  <xdr:oneCellAnchor>
    <xdr:from>
      <xdr:col>14</xdr:col>
      <xdr:colOff>1266265</xdr:colOff>
      <xdr:row>36</xdr:row>
      <xdr:rowOff>89647</xdr:rowOff>
    </xdr:from>
    <xdr:ext cx="1506988" cy="389586"/>
    <xdr:pic>
      <xdr:nvPicPr>
        <xdr:cNvPr id="5" name="Imagen 4">
          <a:extLst>
            <a:ext uri="{FF2B5EF4-FFF2-40B4-BE49-F238E27FC236}">
              <a16:creationId xmlns:a16="http://schemas.microsoft.com/office/drawing/2014/main" id="{CFC2EB62-F7FC-41D1-B282-138E00639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26317" y="3791398"/>
          <a:ext cx="1506988" cy="389586"/>
        </a:xfrm>
        <a:prstGeom prst="rect">
          <a:avLst/>
        </a:prstGeom>
      </xdr:spPr>
    </xdr:pic>
    <xdr:clientData/>
  </xdr:oneCellAnchor>
  <xdr:twoCellAnchor>
    <xdr:from>
      <xdr:col>4</xdr:col>
      <xdr:colOff>490353</xdr:colOff>
      <xdr:row>21</xdr:row>
      <xdr:rowOff>18524</xdr:rowOff>
    </xdr:from>
    <xdr:to>
      <xdr:col>13</xdr:col>
      <xdr:colOff>116829</xdr:colOff>
      <xdr:row>22</xdr:row>
      <xdr:rowOff>449035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2BE93A83-BB60-BD33-C4BF-346D8BA455FA}"/>
            </a:ext>
          </a:extLst>
        </xdr:cNvPr>
        <xdr:cNvSpPr txBox="1"/>
      </xdr:nvSpPr>
      <xdr:spPr>
        <a:xfrm>
          <a:off x="4640532" y="1787453"/>
          <a:ext cx="9369190" cy="9067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L" sz="3600"/>
            <a:t>No</a:t>
          </a:r>
          <a:r>
            <a:rPr lang="es-CL" sz="3600" baseline="0"/>
            <a:t> se trabaja en turno nochero</a:t>
          </a:r>
          <a:endParaRPr lang="es-CL" sz="36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62950</xdr:colOff>
      <xdr:row>26</xdr:row>
      <xdr:rowOff>112458</xdr:rowOff>
    </xdr:from>
    <xdr:to>
      <xdr:col>54</xdr:col>
      <xdr:colOff>291028</xdr:colOff>
      <xdr:row>57</xdr:row>
      <xdr:rowOff>83154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10022B4-8E3C-97C3-2550-2F1D4EE36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79577</xdr:colOff>
      <xdr:row>1</xdr:row>
      <xdr:rowOff>225224</xdr:rowOff>
    </xdr:from>
    <xdr:to>
      <xdr:col>54</xdr:col>
      <xdr:colOff>216218</xdr:colOff>
      <xdr:row>25</xdr:row>
      <xdr:rowOff>72304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6319883-B0F5-E282-341B-64E37DBAB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9784</xdr:colOff>
      <xdr:row>58</xdr:row>
      <xdr:rowOff>74122</xdr:rowOff>
    </xdr:from>
    <xdr:to>
      <xdr:col>54</xdr:col>
      <xdr:colOff>303761</xdr:colOff>
      <xdr:row>86</xdr:row>
      <xdr:rowOff>49001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853DC3-90DD-4B9B-8707-0FDF710AC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0.01056</cdr:x>
      <cdr:y>0.37364</cdr:y>
    </cdr:from>
    <cdr:to>
      <cdr:x>0.05699</cdr:x>
      <cdr:y>0.59534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FEDC036-7D8C-ABBE-4156-8FF63510D5BF}"/>
            </a:ext>
          </a:extLst>
        </cdr:cNvPr>
        <cdr:cNvSpPr txBox="1"/>
      </cdr:nvSpPr>
      <cdr:spPr>
        <a:xfrm xmlns:a="http://schemas.openxmlformats.org/drawingml/2006/main" rot="16200000">
          <a:off x="-192512" y="2365856"/>
          <a:ext cx="1212790" cy="5689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L" sz="1600" b="1" kern="1200"/>
            <a:t>MILLONES</a:t>
          </a:r>
        </a:p>
      </cdr:txBody>
    </cdr:sp>
  </cdr:relSizeAnchor>
  <cdr:relSizeAnchor xmlns:cdr="http://schemas.openxmlformats.org/drawingml/2006/chartDrawing">
    <cdr:from>
      <cdr:x>0.93411</cdr:x>
      <cdr:y>0.32886</cdr:y>
    </cdr:from>
    <cdr:to>
      <cdr:x>0.98054</cdr:x>
      <cdr:y>0.58478</cdr:y>
    </cdr:to>
    <cdr:sp macro="" textlink="">
      <cdr:nvSpPr>
        <cdr:cNvPr id="3" name="CuadroTexto 1">
          <a:extLst xmlns:a="http://schemas.openxmlformats.org/drawingml/2006/main">
            <a:ext uri="{FF2B5EF4-FFF2-40B4-BE49-F238E27FC236}">
              <a16:creationId xmlns:a16="http://schemas.microsoft.com/office/drawing/2014/main" id="{FFEDC036-7D8C-ABBE-4156-8FF63510D5BF}"/>
            </a:ext>
          </a:extLst>
        </cdr:cNvPr>
        <cdr:cNvSpPr txBox="1"/>
      </cdr:nvSpPr>
      <cdr:spPr>
        <a:xfrm xmlns:a="http://schemas.openxmlformats.org/drawingml/2006/main" rot="16200000">
          <a:off x="11031200" y="2214509"/>
          <a:ext cx="1399957" cy="5689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L" sz="1600" b="1" kern="1200"/>
            <a:t>MILLONES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0.01834</cdr:x>
      <cdr:y>0.25307</cdr:y>
    </cdr:from>
    <cdr:to>
      <cdr:x>0.06474</cdr:x>
      <cdr:y>0.50471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F3F842D-8C92-6A03-BEEE-0B2B2429D5C3}"/>
            </a:ext>
          </a:extLst>
        </cdr:cNvPr>
        <cdr:cNvSpPr txBox="1"/>
      </cdr:nvSpPr>
      <cdr:spPr>
        <a:xfrm xmlns:a="http://schemas.openxmlformats.org/drawingml/2006/main" rot="16200000">
          <a:off x="-111024" y="1588188"/>
          <a:ext cx="1244414" cy="5709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s-CL" sz="1600" b="1" kern="1200"/>
            <a:t>MILLONES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0.01834</cdr:x>
      <cdr:y>0.25307</cdr:y>
    </cdr:from>
    <cdr:to>
      <cdr:x>0.06474</cdr:x>
      <cdr:y>0.44603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F3F842D-8C92-6A03-BEEE-0B2B2429D5C3}"/>
            </a:ext>
          </a:extLst>
        </cdr:cNvPr>
        <cdr:cNvSpPr txBox="1"/>
      </cdr:nvSpPr>
      <cdr:spPr>
        <a:xfrm xmlns:a="http://schemas.openxmlformats.org/drawingml/2006/main" rot="16200000">
          <a:off x="17154" y="1516143"/>
          <a:ext cx="995734" cy="5752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r>
            <a:rPr lang="es-CL" sz="1600" b="1" kern="1200"/>
            <a:t>HORAS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269284</xdr:colOff>
      <xdr:row>0</xdr:row>
      <xdr:rowOff>0</xdr:rowOff>
    </xdr:from>
    <xdr:to>
      <xdr:col>9</xdr:col>
      <xdr:colOff>515668</xdr:colOff>
      <xdr:row>30</xdr:row>
      <xdr:rowOff>182511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0DEF8D-01FF-EE03-CB35-CB09B6812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9284" y="0"/>
          <a:ext cx="7340867" cy="5700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753297-8C78-46D4-A289-03D0392E2181}">
  <we:reference id="wa104381637" version="1.0.0.0" store="es-ES" storeType="OMEX"/>
  <we:alternateReferences>
    <we:reference id="WA104381637" version="1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2.bin"/><Relationship Id="rId2" Type="http://schemas.openxmlformats.org/officeDocument/2006/relationships/hyperlink" Target="mailto:15@21" TargetMode="External"/><Relationship Id="rId1" Type="http://schemas.openxmlformats.org/officeDocument/2006/relationships/hyperlink" Target="mailto:1@14" TargetMode="Externa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7632-EB64-4AE9-B5D4-823EC9DD4240}">
  <sheetPr codeName="Hoja1">
    <pageSetUpPr fitToPage="1"/>
  </sheetPr>
  <dimension ref="B1:X91"/>
  <sheetViews>
    <sheetView showGridLines="0" topLeftCell="A19" zoomScaleNormal="100" zoomScaleSheetLayoutView="50" workbookViewId="0">
      <pane xSplit="5" ySplit="2" topLeftCell="F21" activePane="bottomRight" state="frozen"/>
      <selection activeCell="A19" sqref="A19"/>
      <selection pane="topRight" activeCell="F19" sqref="F19"/>
      <selection pane="bottomLeft" activeCell="A21" sqref="A21"/>
      <selection pane="bottomRight" activeCell="D21" sqref="D21"/>
    </sheetView>
  </sheetViews>
  <sheetFormatPr baseColWidth="10" defaultRowHeight="14.5" x14ac:dyDescent="0.35"/>
  <cols>
    <col min="1" max="1" width="2.81640625" customWidth="1"/>
    <col min="2" max="2" width="11.6328125" hidden="1" customWidth="1"/>
    <col min="3" max="3" width="23.1796875" hidden="1" customWidth="1"/>
    <col min="4" max="4" width="24.08984375" customWidth="1"/>
    <col min="5" max="5" width="15.08984375" hidden="1" customWidth="1"/>
    <col min="6" max="7" width="15.81640625" customWidth="1"/>
    <col min="8" max="9" width="11.81640625" customWidth="1"/>
    <col min="10" max="10" width="17" customWidth="1"/>
    <col min="11" max="11" width="20.453125" bestFit="1" customWidth="1"/>
    <col min="12" max="12" width="12.36328125" customWidth="1"/>
    <col min="13" max="13" width="24.6328125" customWidth="1"/>
    <col min="14" max="14" width="19.6328125" customWidth="1"/>
    <col min="15" max="15" width="55.90625" customWidth="1"/>
    <col min="16" max="16" width="46.36328125" customWidth="1"/>
    <col min="17" max="17" width="12.6328125" customWidth="1"/>
    <col min="18" max="18" width="12.08984375" customWidth="1"/>
    <col min="19" max="19" width="19.54296875" customWidth="1"/>
    <col min="20" max="20" width="4" customWidth="1"/>
    <col min="21" max="21" width="20.54296875" customWidth="1"/>
    <col min="22" max="24" width="11.54296875" customWidth="1"/>
  </cols>
  <sheetData>
    <row r="1" spans="2:19" ht="24.5" customHeight="1" x14ac:dyDescent="0.35">
      <c r="B1" s="409"/>
      <c r="C1" s="410"/>
      <c r="D1" s="411"/>
      <c r="S1" s="1" t="s">
        <v>10</v>
      </c>
    </row>
    <row r="2" spans="2:19" ht="24.5" customHeight="1" x14ac:dyDescent="0.35">
      <c r="B2" s="412"/>
      <c r="C2" s="413"/>
      <c r="D2" s="414"/>
      <c r="E2" s="415" t="s">
        <v>0</v>
      </c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2"/>
    </row>
    <row r="3" spans="2:19" x14ac:dyDescent="0.35">
      <c r="B3" s="412"/>
      <c r="C3" s="413"/>
      <c r="D3" s="414"/>
      <c r="E3" s="415" t="s">
        <v>17</v>
      </c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6"/>
      <c r="S3" s="2" t="s">
        <v>1</v>
      </c>
    </row>
    <row r="4" spans="2:19" x14ac:dyDescent="0.35">
      <c r="B4" s="412"/>
      <c r="C4" s="413"/>
      <c r="D4" s="414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6"/>
      <c r="S4" s="19" t="s">
        <v>16</v>
      </c>
    </row>
    <row r="5" spans="2:19" ht="17" customHeight="1" x14ac:dyDescent="0.4">
      <c r="B5" s="20"/>
      <c r="C5" s="21"/>
      <c r="D5" s="22"/>
      <c r="E5" s="23"/>
      <c r="F5" s="23"/>
      <c r="G5" s="23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4"/>
    </row>
    <row r="6" spans="2:19" ht="17" customHeight="1" x14ac:dyDescent="0.4">
      <c r="B6" s="25"/>
      <c r="C6" s="61" t="s">
        <v>18</v>
      </c>
      <c r="D6" s="52"/>
      <c r="E6" s="10"/>
      <c r="F6" s="10"/>
      <c r="G6" s="10"/>
      <c r="H6" s="9"/>
      <c r="I6" s="9"/>
      <c r="J6" s="52"/>
      <c r="K6" s="420" t="s">
        <v>119</v>
      </c>
      <c r="L6" s="420"/>
      <c r="M6" s="48">
        <f>+G47</f>
        <v>0.24305555555555558</v>
      </c>
      <c r="O6" s="9"/>
      <c r="P6" s="9"/>
      <c r="Q6" s="9"/>
      <c r="R6" s="9"/>
      <c r="S6" s="26"/>
    </row>
    <row r="7" spans="2:19" ht="17" customHeight="1" x14ac:dyDescent="0.4">
      <c r="B7" s="25"/>
      <c r="C7" s="52" t="s">
        <v>19</v>
      </c>
      <c r="D7" s="52"/>
      <c r="E7" s="10"/>
      <c r="F7" s="10"/>
      <c r="G7" s="10"/>
      <c r="H7" s="9"/>
      <c r="I7" s="9"/>
      <c r="J7" s="52"/>
      <c r="K7" s="420" t="s">
        <v>117</v>
      </c>
      <c r="L7" s="420"/>
      <c r="M7" s="49">
        <f>+H49</f>
        <v>1</v>
      </c>
      <c r="O7" s="9"/>
      <c r="P7" s="9"/>
      <c r="Q7" s="9"/>
      <c r="R7" s="9"/>
      <c r="S7" s="26"/>
    </row>
    <row r="8" spans="2:19" ht="17" customHeight="1" x14ac:dyDescent="0.4">
      <c r="B8" s="25"/>
      <c r="C8" s="52" t="s">
        <v>20</v>
      </c>
      <c r="D8" s="52"/>
      <c r="E8" s="10"/>
      <c r="F8" s="10"/>
      <c r="G8" s="10"/>
      <c r="H8" s="9"/>
      <c r="I8" s="9"/>
      <c r="J8" s="52" t="s">
        <v>115</v>
      </c>
      <c r="K8" s="420" t="s">
        <v>118</v>
      </c>
      <c r="L8" s="420"/>
      <c r="M8" s="50">
        <f>+G67</f>
        <v>132</v>
      </c>
      <c r="O8" s="9"/>
      <c r="P8" s="9"/>
      <c r="Q8" s="9"/>
      <c r="R8" s="9"/>
      <c r="S8" s="26"/>
    </row>
    <row r="9" spans="2:19" ht="17" customHeight="1" x14ac:dyDescent="0.4">
      <c r="B9" s="25"/>
      <c r="C9" s="52" t="s">
        <v>21</v>
      </c>
      <c r="D9" s="52"/>
      <c r="E9" s="10"/>
      <c r="F9" s="10"/>
      <c r="G9" s="10"/>
      <c r="H9" s="9"/>
      <c r="I9" s="9"/>
      <c r="J9" s="52" t="s">
        <v>116</v>
      </c>
      <c r="K9" s="420" t="s">
        <v>147</v>
      </c>
      <c r="L9" s="420"/>
      <c r="M9" s="50">
        <f>+G81</f>
        <v>294</v>
      </c>
      <c r="O9" s="9"/>
      <c r="P9" s="9"/>
      <c r="Q9" s="9"/>
      <c r="R9" s="9"/>
      <c r="S9" s="26"/>
    </row>
    <row r="10" spans="2:19" ht="17" customHeight="1" x14ac:dyDescent="0.4">
      <c r="B10" s="25"/>
      <c r="C10" s="52"/>
      <c r="D10" s="52"/>
      <c r="E10" s="10"/>
      <c r="F10" s="10"/>
      <c r="G10" s="10"/>
      <c r="H10" s="9"/>
      <c r="I10" s="9"/>
      <c r="J10" s="52"/>
      <c r="K10" s="420" t="s">
        <v>148</v>
      </c>
      <c r="L10" s="420"/>
      <c r="M10" s="50">
        <f>+G91</f>
        <v>0</v>
      </c>
      <c r="O10" s="9"/>
      <c r="P10" s="9"/>
      <c r="Q10" s="9"/>
      <c r="R10" s="9"/>
      <c r="S10" s="26"/>
    </row>
    <row r="11" spans="2:19" ht="17" customHeight="1" x14ac:dyDescent="0.4">
      <c r="B11" s="25"/>
      <c r="C11" s="61"/>
      <c r="D11" s="52"/>
      <c r="E11" s="10"/>
      <c r="F11" s="10"/>
      <c r="G11" s="10"/>
      <c r="H11" s="9"/>
      <c r="I11" s="9"/>
      <c r="J11" s="52"/>
      <c r="K11" s="420" t="s">
        <v>120</v>
      </c>
      <c r="L11" s="420"/>
      <c r="M11" s="51">
        <f>+H53</f>
        <v>0.55733029092983455</v>
      </c>
      <c r="O11" s="9"/>
      <c r="P11" s="9"/>
      <c r="Q11" s="9"/>
      <c r="R11" s="9"/>
      <c r="S11" s="26"/>
    </row>
    <row r="12" spans="2:19" ht="17" customHeight="1" x14ac:dyDescent="0.4">
      <c r="B12" s="25"/>
      <c r="C12" s="52"/>
      <c r="D12" s="52"/>
      <c r="E12" s="10"/>
      <c r="F12" s="10"/>
      <c r="G12" s="10"/>
      <c r="H12" s="9"/>
      <c r="I12" s="9"/>
      <c r="J12" s="52"/>
      <c r="K12" s="420" t="s">
        <v>133</v>
      </c>
      <c r="L12" s="420"/>
      <c r="M12" s="62">
        <f>+SUM(D15:D16,D17:D18,K15:K16,K17:K18,P15:P16,P17:P18)</f>
        <v>63</v>
      </c>
      <c r="O12" s="9"/>
      <c r="P12" s="9"/>
      <c r="Q12" s="9"/>
      <c r="R12" s="9"/>
      <c r="S12" s="26"/>
    </row>
    <row r="13" spans="2:19" ht="17" customHeight="1" x14ac:dyDescent="0.4">
      <c r="B13" s="27"/>
      <c r="C13" s="17"/>
      <c r="D13" s="28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30"/>
    </row>
    <row r="14" spans="2:19" ht="17" customHeight="1" x14ac:dyDescent="0.4">
      <c r="B14" s="417" t="s">
        <v>15</v>
      </c>
      <c r="C14" s="418"/>
      <c r="D14" s="418"/>
      <c r="E14" s="418"/>
      <c r="F14" s="418"/>
      <c r="G14" s="418"/>
      <c r="H14" s="418"/>
      <c r="I14" s="418"/>
      <c r="J14" s="418"/>
      <c r="K14" s="418"/>
      <c r="L14" s="418"/>
      <c r="M14" s="418"/>
      <c r="N14" s="418"/>
      <c r="O14" s="418"/>
      <c r="P14" s="418"/>
      <c r="Q14" s="418"/>
      <c r="R14" s="418"/>
      <c r="S14" s="419"/>
    </row>
    <row r="15" spans="2:19" ht="21" customHeight="1" x14ac:dyDescent="0.35">
      <c r="B15" s="31" t="s">
        <v>6</v>
      </c>
      <c r="C15" s="11" t="s">
        <v>8</v>
      </c>
      <c r="D15" s="12">
        <v>10</v>
      </c>
      <c r="E15" s="12"/>
      <c r="F15" s="12"/>
      <c r="G15" s="12"/>
      <c r="H15" s="12" t="s">
        <v>11</v>
      </c>
      <c r="I15" s="12"/>
      <c r="J15" s="11" t="s">
        <v>8</v>
      </c>
      <c r="K15" s="12">
        <v>10</v>
      </c>
      <c r="L15" s="13"/>
      <c r="M15" s="13"/>
      <c r="N15" s="33" t="s">
        <v>13</v>
      </c>
      <c r="O15" s="11" t="s">
        <v>8</v>
      </c>
      <c r="P15" s="12">
        <v>10</v>
      </c>
      <c r="Q15" s="13"/>
      <c r="R15" s="12"/>
      <c r="S15" s="14"/>
    </row>
    <row r="16" spans="2:19" ht="21" customHeight="1" x14ac:dyDescent="0.35">
      <c r="B16" s="32"/>
      <c r="C16" s="15" t="s">
        <v>9</v>
      </c>
      <c r="D16" s="16">
        <v>2</v>
      </c>
      <c r="E16" s="16"/>
      <c r="F16" s="16"/>
      <c r="G16" s="16"/>
      <c r="H16" s="16"/>
      <c r="I16" s="16"/>
      <c r="J16" s="15" t="s">
        <v>9</v>
      </c>
      <c r="K16" s="16">
        <v>2</v>
      </c>
      <c r="L16" s="17"/>
      <c r="M16" s="17"/>
      <c r="N16" s="34"/>
      <c r="O16" s="15" t="s">
        <v>9</v>
      </c>
      <c r="P16" s="16">
        <v>2</v>
      </c>
      <c r="Q16" s="17"/>
      <c r="R16" s="16"/>
      <c r="S16" s="18"/>
    </row>
    <row r="17" spans="2:24" ht="21" customHeight="1" x14ac:dyDescent="0.35">
      <c r="B17" s="31" t="s">
        <v>7</v>
      </c>
      <c r="C17" s="11" t="s">
        <v>8</v>
      </c>
      <c r="D17" s="12">
        <v>8</v>
      </c>
      <c r="E17" s="12"/>
      <c r="F17" s="12"/>
      <c r="G17" s="12"/>
      <c r="H17" s="12" t="s">
        <v>12</v>
      </c>
      <c r="I17" s="12"/>
      <c r="J17" s="11" t="s">
        <v>8</v>
      </c>
      <c r="K17" s="12">
        <v>8</v>
      </c>
      <c r="L17" s="13"/>
      <c r="M17" s="13"/>
      <c r="N17" s="33" t="s">
        <v>14</v>
      </c>
      <c r="O17" s="11" t="s">
        <v>8</v>
      </c>
      <c r="P17" s="12">
        <v>8</v>
      </c>
      <c r="Q17" s="13"/>
      <c r="R17" s="12"/>
      <c r="S17" s="14"/>
    </row>
    <row r="18" spans="2:24" ht="21" customHeight="1" x14ac:dyDescent="0.35">
      <c r="B18" s="32"/>
      <c r="C18" s="15" t="s">
        <v>9</v>
      </c>
      <c r="D18" s="16">
        <v>1</v>
      </c>
      <c r="E18" s="16"/>
      <c r="F18" s="16"/>
      <c r="G18" s="16"/>
      <c r="H18" s="16"/>
      <c r="I18" s="16"/>
      <c r="J18" s="15" t="s">
        <v>9</v>
      </c>
      <c r="K18" s="16">
        <v>1</v>
      </c>
      <c r="L18" s="17"/>
      <c r="M18" s="17"/>
      <c r="N18" s="34"/>
      <c r="O18" s="15" t="s">
        <v>9</v>
      </c>
      <c r="P18" s="16">
        <v>1</v>
      </c>
      <c r="Q18" s="17"/>
      <c r="R18" s="16"/>
      <c r="S18" s="18"/>
    </row>
    <row r="19" spans="2:24" ht="17" customHeight="1" x14ac:dyDescent="0.4">
      <c r="B19" s="75" t="s">
        <v>158</v>
      </c>
      <c r="C19" s="76"/>
      <c r="D19" s="76" t="s">
        <v>158</v>
      </c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7"/>
    </row>
    <row r="20" spans="2:24" ht="58" x14ac:dyDescent="0.35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41" t="s">
        <v>131</v>
      </c>
      <c r="L20" s="47" t="s">
        <v>123</v>
      </c>
      <c r="M20" s="40" t="s">
        <v>134</v>
      </c>
      <c r="N20" s="41" t="s">
        <v>24</v>
      </c>
      <c r="O20" s="41" t="s">
        <v>130</v>
      </c>
      <c r="P20" s="40" t="s">
        <v>159</v>
      </c>
      <c r="Q20" s="40" t="s">
        <v>121</v>
      </c>
      <c r="R20" s="40" t="s">
        <v>4</v>
      </c>
      <c r="S20" s="41" t="s">
        <v>137</v>
      </c>
      <c r="U20" s="40" t="s">
        <v>109</v>
      </c>
      <c r="V20" s="41" t="s">
        <v>87</v>
      </c>
      <c r="W20" s="41" t="s">
        <v>128</v>
      </c>
      <c r="X20" s="41" t="s">
        <v>62</v>
      </c>
    </row>
    <row r="21" spans="2:24" ht="38" customHeight="1" x14ac:dyDescent="0.35">
      <c r="B21" s="4"/>
      <c r="C21" s="8" t="str">
        <f>+Datos!R2</f>
        <v>Ciclo Minero 10,0 x 7,2 m
Galería Inyección Principal</v>
      </c>
      <c r="D21" s="8" t="s">
        <v>110</v>
      </c>
      <c r="E21" s="4" t="s">
        <v>6</v>
      </c>
      <c r="F21" s="4" t="s">
        <v>28</v>
      </c>
      <c r="G21" s="4"/>
      <c r="H21" s="6">
        <v>0.35416666666666669</v>
      </c>
      <c r="I21" s="6">
        <v>0.3888888888888889</v>
      </c>
      <c r="J21" s="36">
        <f>+MOD(I21-H21,1)</f>
        <v>3.472222222222221E-2</v>
      </c>
      <c r="K21" s="7"/>
      <c r="L21" s="65"/>
      <c r="M21" s="66"/>
      <c r="N21" s="37">
        <v>1</v>
      </c>
      <c r="O21" s="37"/>
      <c r="P21" s="4"/>
      <c r="Q21" s="6">
        <v>0.43055555555555558</v>
      </c>
      <c r="R21" s="6">
        <v>0.47916666666666669</v>
      </c>
      <c r="S21" s="36">
        <f>+MOD(R21-Q21,1)</f>
        <v>4.8611111111111105E-2</v>
      </c>
      <c r="U21" s="45" t="str">
        <f>+IFERROR(VLOOKUP(D21,Datos!$R$3:$T$19,3,FALSE), "0")</f>
        <v>0</v>
      </c>
      <c r="V21" s="67" t="str">
        <f>IF(OR(D21="Perforación de Fortificación", D21="Perforación de Avance", D21="Perforación Desquinche"), K21*M21, "")</f>
        <v/>
      </c>
      <c r="W21" s="67" t="str">
        <f>IF(D21="Extracción de Marina Disparo",K21,"")</f>
        <v/>
      </c>
      <c r="X21" s="67" t="str">
        <f>IF(OR(D21="Shotcrete", D21="Pre Shotcrete"), K21, "")</f>
        <v/>
      </c>
    </row>
    <row r="22" spans="2:24" ht="38" customHeight="1" x14ac:dyDescent="0.35">
      <c r="B22" s="4"/>
      <c r="C22" s="8" t="str">
        <f>+C21</f>
        <v>Ciclo Minero 10,0 x 7,2 m
Galería Inyección Principal</v>
      </c>
      <c r="D22" s="8" t="s">
        <v>57</v>
      </c>
      <c r="E22" s="4"/>
      <c r="F22" s="4" t="s">
        <v>30</v>
      </c>
      <c r="G22" s="4" t="s">
        <v>66</v>
      </c>
      <c r="H22" s="6">
        <v>0.3888888888888889</v>
      </c>
      <c r="I22" s="6">
        <v>0.54166666666666663</v>
      </c>
      <c r="J22" s="36">
        <f t="shared" ref="J22:J25" si="0">+MOD(I22-H22,1)</f>
        <v>0.15277777777777773</v>
      </c>
      <c r="K22" s="7">
        <v>33</v>
      </c>
      <c r="L22" s="65" t="s">
        <v>125</v>
      </c>
      <c r="M22" s="66">
        <v>4</v>
      </c>
      <c r="N22" s="37">
        <v>1</v>
      </c>
      <c r="O22" s="37"/>
      <c r="P22" s="4"/>
      <c r="Q22" s="4"/>
      <c r="R22" s="4"/>
      <c r="S22" s="36">
        <f t="shared" ref="S22:S27" si="1">+MOD(R22-Q22,1)</f>
        <v>0</v>
      </c>
      <c r="U22" s="45">
        <f>+IFERROR(VLOOKUP(D22,Datos!$R$3:$T$19,3,FALSE), "0")</f>
        <v>8.6138049058756397E-2</v>
      </c>
      <c r="V22" s="67">
        <f t="shared" ref="V22:V27" si="2">IF(OR(D22="Perforación de Fortificación", D22="Perforación de Avance", D22="Perforación Desquinche"), K22*M22, "")</f>
        <v>132</v>
      </c>
      <c r="W22" s="67" t="str">
        <f t="shared" ref="W22:W27" si="3">IF(D22="Extracción de Marina Disparo",K22,"")</f>
        <v/>
      </c>
      <c r="X22" s="67" t="str">
        <f t="shared" ref="X22:X27" si="4">IF(OR(D22="Shotcrete", D22="Pre Shotcrete"), K22, "")</f>
        <v/>
      </c>
    </row>
    <row r="23" spans="2:24" ht="38" customHeight="1" x14ac:dyDescent="0.35">
      <c r="B23" s="4"/>
      <c r="C23" s="8" t="str">
        <f t="shared" ref="C23:C27" si="5">+C22</f>
        <v>Ciclo Minero 10,0 x 7,2 m
Galería Inyección Principal</v>
      </c>
      <c r="D23" s="8" t="s">
        <v>54</v>
      </c>
      <c r="E23" s="4"/>
      <c r="F23" s="4" t="s">
        <v>28</v>
      </c>
      <c r="G23" s="4" t="s">
        <v>86</v>
      </c>
      <c r="H23" s="6">
        <v>0.5625</v>
      </c>
      <c r="I23" s="6">
        <v>0.64583333333333337</v>
      </c>
      <c r="J23" s="36">
        <f t="shared" si="0"/>
        <v>8.333333333333337E-2</v>
      </c>
      <c r="K23" s="7">
        <v>33</v>
      </c>
      <c r="L23" s="65" t="s">
        <v>125</v>
      </c>
      <c r="M23" s="66">
        <v>4</v>
      </c>
      <c r="N23" s="37">
        <v>1</v>
      </c>
      <c r="O23" s="37"/>
      <c r="P23" s="4"/>
      <c r="Q23" s="4"/>
      <c r="R23" s="4"/>
      <c r="S23" s="36">
        <f t="shared" si="1"/>
        <v>0</v>
      </c>
      <c r="U23" s="45">
        <f>+IFERROR(VLOOKUP(D23,Datos!$R$3:$T$19,3,FALSE), "0")</f>
        <v>0.17798060467769536</v>
      </c>
      <c r="V23" s="67" t="str">
        <f t="shared" si="2"/>
        <v/>
      </c>
      <c r="W23" s="67" t="str">
        <f t="shared" si="3"/>
        <v/>
      </c>
      <c r="X23" s="67" t="str">
        <f t="shared" si="4"/>
        <v/>
      </c>
    </row>
    <row r="24" spans="2:24" ht="38" customHeight="1" x14ac:dyDescent="0.35">
      <c r="B24" s="4"/>
      <c r="C24" s="8" t="str">
        <f t="shared" si="5"/>
        <v>Ciclo Minero 10,0 x 7,2 m
Galería Inyección Principal</v>
      </c>
      <c r="D24" s="8" t="s">
        <v>52</v>
      </c>
      <c r="E24" s="4"/>
      <c r="F24" s="4" t="s">
        <v>28</v>
      </c>
      <c r="G24" s="4" t="s">
        <v>86</v>
      </c>
      <c r="H24" s="6">
        <v>0.6875</v>
      </c>
      <c r="I24" s="6">
        <v>0.8125</v>
      </c>
      <c r="J24" s="36">
        <f t="shared" si="0"/>
        <v>0.125</v>
      </c>
      <c r="K24" s="7">
        <f>30*3</f>
        <v>90</v>
      </c>
      <c r="L24" s="65" t="s">
        <v>126</v>
      </c>
      <c r="M24" s="66">
        <v>0</v>
      </c>
      <c r="N24" s="37">
        <v>1</v>
      </c>
      <c r="O24" s="37"/>
      <c r="P24" s="4"/>
      <c r="Q24" s="4"/>
      <c r="R24" s="4"/>
      <c r="S24" s="36">
        <f t="shared" si="1"/>
        <v>0</v>
      </c>
      <c r="U24" s="45">
        <f>+IFERROR(VLOOKUP(D24,Datos!$R$3:$T$19,3,FALSE), "0")</f>
        <v>6.8454078722190517E-2</v>
      </c>
      <c r="V24" s="67" t="str">
        <f t="shared" si="2"/>
        <v/>
      </c>
      <c r="W24" s="67" t="str">
        <f t="shared" si="3"/>
        <v/>
      </c>
      <c r="X24" s="67" t="str">
        <f t="shared" si="4"/>
        <v/>
      </c>
    </row>
    <row r="25" spans="2:24" ht="38" customHeight="1" x14ac:dyDescent="0.35">
      <c r="B25" s="4"/>
      <c r="C25" s="8" t="str">
        <f t="shared" si="5"/>
        <v>Ciclo Minero 10,0 x 7,2 m
Galería Inyección Principal</v>
      </c>
      <c r="D25" s="8" t="s">
        <v>104</v>
      </c>
      <c r="E25" s="4"/>
      <c r="F25" s="4" t="s">
        <v>31</v>
      </c>
      <c r="G25" s="4" t="s">
        <v>71</v>
      </c>
      <c r="H25" s="6">
        <v>0.64583333333333337</v>
      </c>
      <c r="I25" s="6">
        <v>0.6875</v>
      </c>
      <c r="J25" s="36">
        <f t="shared" si="0"/>
        <v>4.166666666666663E-2</v>
      </c>
      <c r="K25" s="7">
        <v>60</v>
      </c>
      <c r="L25" s="65" t="s">
        <v>127</v>
      </c>
      <c r="M25" s="66">
        <v>0</v>
      </c>
      <c r="N25" s="37">
        <v>1</v>
      </c>
      <c r="O25" s="37"/>
      <c r="P25" s="4"/>
      <c r="Q25" s="4"/>
      <c r="R25" s="4"/>
      <c r="S25" s="36">
        <f t="shared" si="1"/>
        <v>0</v>
      </c>
      <c r="U25" s="45">
        <f>+IFERROR(VLOOKUP(D25,Datos!$R$3:$T$19,3,FALSE), "0")</f>
        <v>0.22475755847119222</v>
      </c>
      <c r="V25" s="67" t="str">
        <f t="shared" si="2"/>
        <v/>
      </c>
      <c r="W25" s="67">
        <f t="shared" si="3"/>
        <v>60</v>
      </c>
      <c r="X25" s="67" t="str">
        <f t="shared" si="4"/>
        <v/>
      </c>
    </row>
    <row r="26" spans="2:24" ht="38" customHeight="1" x14ac:dyDescent="0.35">
      <c r="B26" s="4"/>
      <c r="C26" s="8" t="str">
        <f t="shared" si="5"/>
        <v>Ciclo Minero 10,0 x 7,2 m
Galería Inyección Principal</v>
      </c>
      <c r="D26" s="8"/>
      <c r="E26" s="4"/>
      <c r="F26" s="4"/>
      <c r="G26" s="4"/>
      <c r="H26" s="6"/>
      <c r="I26" s="6"/>
      <c r="J26" s="36"/>
      <c r="K26" s="7"/>
      <c r="L26" s="65"/>
      <c r="M26" s="66"/>
      <c r="N26" s="37"/>
      <c r="O26" s="37"/>
      <c r="P26" s="4"/>
      <c r="Q26" s="4"/>
      <c r="R26" s="4"/>
      <c r="S26" s="36">
        <f t="shared" si="1"/>
        <v>0</v>
      </c>
      <c r="U26" s="45" t="str">
        <f>+IFERROR(VLOOKUP(D26,Datos!$R$3:$T$19,3,FALSE), "0")</f>
        <v>0</v>
      </c>
      <c r="V26" s="67" t="str">
        <f t="shared" si="2"/>
        <v/>
      </c>
      <c r="W26" s="67" t="str">
        <f t="shared" si="3"/>
        <v/>
      </c>
      <c r="X26" s="67" t="str">
        <f t="shared" si="4"/>
        <v/>
      </c>
    </row>
    <row r="27" spans="2:24" ht="38" customHeight="1" x14ac:dyDescent="0.35">
      <c r="B27" s="4"/>
      <c r="C27" s="8" t="str">
        <f t="shared" si="5"/>
        <v>Ciclo Minero 10,0 x 7,2 m
Galería Inyección Principal</v>
      </c>
      <c r="D27" s="8"/>
      <c r="E27" s="4"/>
      <c r="F27" s="4"/>
      <c r="G27" s="4"/>
      <c r="H27" s="6"/>
      <c r="I27" s="6"/>
      <c r="J27" s="36"/>
      <c r="K27" s="7"/>
      <c r="L27" s="65"/>
      <c r="M27" s="66"/>
      <c r="N27" s="37"/>
      <c r="O27" s="37"/>
      <c r="P27" s="4"/>
      <c r="Q27" s="4"/>
      <c r="R27" s="4"/>
      <c r="S27" s="36">
        <f t="shared" si="1"/>
        <v>0</v>
      </c>
      <c r="U27" s="45" t="str">
        <f>+IFERROR(VLOOKUP(D27,Datos!$R$3:$T$19,3,FALSE), "0")</f>
        <v>0</v>
      </c>
      <c r="V27" s="67" t="str">
        <f t="shared" si="2"/>
        <v/>
      </c>
      <c r="W27" s="67" t="str">
        <f t="shared" si="3"/>
        <v/>
      </c>
      <c r="X27" s="67" t="str">
        <f t="shared" si="4"/>
        <v/>
      </c>
    </row>
    <row r="28" spans="2:24" ht="58" x14ac:dyDescent="0.35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41" t="s">
        <v>131</v>
      </c>
      <c r="L28" s="47" t="s">
        <v>123</v>
      </c>
      <c r="M28" s="40" t="s">
        <v>134</v>
      </c>
      <c r="N28" s="41" t="s">
        <v>24</v>
      </c>
      <c r="O28" s="41" t="s">
        <v>130</v>
      </c>
      <c r="P28" s="40" t="s">
        <v>132</v>
      </c>
      <c r="Q28" s="40" t="s">
        <v>121</v>
      </c>
      <c r="R28" s="40" t="s">
        <v>4</v>
      </c>
      <c r="S28" s="41" t="s">
        <v>137</v>
      </c>
      <c r="U28" s="40"/>
      <c r="V28" s="41" t="s">
        <v>87</v>
      </c>
      <c r="W28" s="41" t="s">
        <v>128</v>
      </c>
      <c r="X28" s="41" t="s">
        <v>128</v>
      </c>
    </row>
    <row r="29" spans="2:24" ht="38" customHeight="1" x14ac:dyDescent="0.35">
      <c r="B29" s="4"/>
      <c r="C29" s="8" t="str">
        <f>+Datos!R23</f>
        <v>Ciclo Minero 5,2 x 5,6 m
Galería Acceso Portal de Servicio</v>
      </c>
      <c r="D29" s="8"/>
      <c r="E29" s="4"/>
      <c r="F29" s="4"/>
      <c r="G29" s="4"/>
      <c r="H29" s="6"/>
      <c r="I29" s="6"/>
      <c r="J29" s="36"/>
      <c r="K29" s="7"/>
      <c r="L29" s="65"/>
      <c r="M29" s="66"/>
      <c r="N29" s="37"/>
      <c r="O29" s="37"/>
      <c r="P29" s="4"/>
      <c r="Q29" s="6">
        <v>0.43055555555555558</v>
      </c>
      <c r="R29" s="6">
        <v>0.47916666666666669</v>
      </c>
      <c r="S29" s="36">
        <f>+MOD(R29-Q29,1)</f>
        <v>4.8611111111111105E-2</v>
      </c>
      <c r="U29" s="45" t="str">
        <f>+IFERROR(VLOOKUP(D29,Datos!$R$24:$T$40,3,FALSE), "0")</f>
        <v>0</v>
      </c>
      <c r="V29" s="67" t="str">
        <f>IF(OR(D29="Perforación de Fortificación", D29="Perforación de Avance", D29="Perforación Desquinche"), K29*M29, "")</f>
        <v/>
      </c>
      <c r="W29" s="67" t="str">
        <f>IF(D29="Extracción de Marina Disparo",K29,"")</f>
        <v/>
      </c>
      <c r="X29" s="67" t="str">
        <f t="shared" ref="X29:X43" si="6">IF(OR(D29="Shotcrete", D29="Pre Shotcrete"), K29, "")</f>
        <v/>
      </c>
    </row>
    <row r="30" spans="2:24" ht="38" customHeight="1" x14ac:dyDescent="0.35">
      <c r="B30" s="4"/>
      <c r="C30" s="8" t="str">
        <f>+C29</f>
        <v>Ciclo Minero 5,2 x 5,6 m
Galería Acceso Portal de Servicio</v>
      </c>
      <c r="D30" s="8"/>
      <c r="E30" s="4"/>
      <c r="F30" s="4"/>
      <c r="G30" s="4"/>
      <c r="H30" s="6"/>
      <c r="I30" s="6"/>
      <c r="J30" s="36"/>
      <c r="K30" s="7"/>
      <c r="L30" s="65"/>
      <c r="M30" s="66"/>
      <c r="N30" s="37"/>
      <c r="O30" s="37"/>
      <c r="P30" s="4"/>
      <c r="Q30" s="4"/>
      <c r="R30" s="4"/>
      <c r="S30" s="36">
        <f t="shared" ref="S30:S35" si="7">+MOD(R30-Q30,1)</f>
        <v>0</v>
      </c>
      <c r="U30" s="45" t="str">
        <f>+IFERROR(VLOOKUP(D30,Datos!$R$24:$T$40,3,FALSE), "0")</f>
        <v>0</v>
      </c>
      <c r="V30" s="67" t="str">
        <f t="shared" ref="V30:V35" si="8">IF(OR(D30="Perforación de Fortificación", D30="Perforación de Avance", D30="Perforación Desquinche"), K30*M30, "")</f>
        <v/>
      </c>
      <c r="W30" s="67" t="str">
        <f t="shared" ref="W30:W35" si="9">IF(D30="Extracción de Marina Disparo",K30,"")</f>
        <v/>
      </c>
      <c r="X30" s="67" t="str">
        <f t="shared" si="6"/>
        <v/>
      </c>
    </row>
    <row r="31" spans="2:24" ht="38" customHeight="1" x14ac:dyDescent="0.35">
      <c r="B31" s="4"/>
      <c r="C31" s="8" t="str">
        <f t="shared" ref="C31:C35" si="10">+C30</f>
        <v>Ciclo Minero 5,2 x 5,6 m
Galería Acceso Portal de Servicio</v>
      </c>
      <c r="D31" s="8"/>
      <c r="E31" s="4"/>
      <c r="F31" s="4"/>
      <c r="G31" s="4"/>
      <c r="H31" s="6"/>
      <c r="I31" s="6"/>
      <c r="J31" s="36"/>
      <c r="K31" s="7"/>
      <c r="L31" s="65"/>
      <c r="M31" s="66"/>
      <c r="N31" s="37"/>
      <c r="O31" s="37"/>
      <c r="P31" s="4"/>
      <c r="Q31" s="4"/>
      <c r="R31" s="4"/>
      <c r="S31" s="36">
        <f t="shared" si="7"/>
        <v>0</v>
      </c>
      <c r="U31" s="45" t="str">
        <f>+IFERROR(VLOOKUP(D31,Datos!$R$24:$T$40,3,FALSE), "0")</f>
        <v>0</v>
      </c>
      <c r="V31" s="67" t="str">
        <f t="shared" si="8"/>
        <v/>
      </c>
      <c r="W31" s="67" t="str">
        <f t="shared" si="9"/>
        <v/>
      </c>
      <c r="X31" s="67" t="str">
        <f t="shared" si="6"/>
        <v/>
      </c>
    </row>
    <row r="32" spans="2:24" ht="38" customHeight="1" x14ac:dyDescent="0.35">
      <c r="B32" s="4"/>
      <c r="C32" s="8" t="str">
        <f t="shared" si="10"/>
        <v>Ciclo Minero 5,2 x 5,6 m
Galería Acceso Portal de Servicio</v>
      </c>
      <c r="D32" s="8"/>
      <c r="E32" s="4"/>
      <c r="F32" s="4"/>
      <c r="G32" s="4"/>
      <c r="H32" s="6"/>
      <c r="I32" s="6"/>
      <c r="J32" s="36"/>
      <c r="K32" s="7"/>
      <c r="L32" s="65"/>
      <c r="M32" s="66"/>
      <c r="N32" s="37"/>
      <c r="O32" s="37"/>
      <c r="P32" s="4"/>
      <c r="Q32" s="4"/>
      <c r="R32" s="4"/>
      <c r="S32" s="36">
        <f t="shared" si="7"/>
        <v>0</v>
      </c>
      <c r="U32" s="45" t="str">
        <f>+IFERROR(VLOOKUP(D32,Datos!$R$24:$T$40,3,FALSE), "0")</f>
        <v>0</v>
      </c>
      <c r="V32" s="67" t="str">
        <f t="shared" si="8"/>
        <v/>
      </c>
      <c r="W32" s="67" t="str">
        <f t="shared" si="9"/>
        <v/>
      </c>
      <c r="X32" s="67" t="str">
        <f t="shared" si="6"/>
        <v/>
      </c>
    </row>
    <row r="33" spans="2:24" ht="38" customHeight="1" x14ac:dyDescent="0.35">
      <c r="B33" s="4"/>
      <c r="C33" s="8" t="str">
        <f t="shared" si="10"/>
        <v>Ciclo Minero 5,2 x 5,6 m
Galería Acceso Portal de Servicio</v>
      </c>
      <c r="D33" s="8"/>
      <c r="E33" s="4"/>
      <c r="F33" s="4"/>
      <c r="G33" s="4"/>
      <c r="H33" s="6"/>
      <c r="I33" s="6"/>
      <c r="J33" s="36"/>
      <c r="K33" s="7"/>
      <c r="L33" s="65"/>
      <c r="M33" s="66"/>
      <c r="N33" s="37"/>
      <c r="O33" s="37"/>
      <c r="P33" s="4"/>
      <c r="Q33" s="4"/>
      <c r="R33" s="4"/>
      <c r="S33" s="36">
        <f t="shared" si="7"/>
        <v>0</v>
      </c>
      <c r="U33" s="45" t="str">
        <f>+IFERROR(VLOOKUP(D33,Datos!$R$24:$T$40,3,FALSE), "0")</f>
        <v>0</v>
      </c>
      <c r="V33" s="67" t="str">
        <f t="shared" si="8"/>
        <v/>
      </c>
      <c r="W33" s="67" t="str">
        <f t="shared" si="9"/>
        <v/>
      </c>
      <c r="X33" s="67" t="str">
        <f t="shared" si="6"/>
        <v/>
      </c>
    </row>
    <row r="34" spans="2:24" ht="38" customHeight="1" x14ac:dyDescent="0.35">
      <c r="B34" s="4"/>
      <c r="C34" s="8" t="str">
        <f t="shared" si="10"/>
        <v>Ciclo Minero 5,2 x 5,6 m
Galería Acceso Portal de Servicio</v>
      </c>
      <c r="D34" s="8"/>
      <c r="E34" s="4"/>
      <c r="F34" s="4"/>
      <c r="G34" s="4"/>
      <c r="H34" s="6"/>
      <c r="I34" s="6"/>
      <c r="J34" s="36"/>
      <c r="K34" s="7"/>
      <c r="L34" s="65"/>
      <c r="M34" s="66"/>
      <c r="N34" s="37"/>
      <c r="O34" s="37"/>
      <c r="P34" s="4"/>
      <c r="Q34" s="4"/>
      <c r="R34" s="4"/>
      <c r="S34" s="36">
        <f t="shared" si="7"/>
        <v>0</v>
      </c>
      <c r="U34" s="45" t="str">
        <f>+IFERROR(VLOOKUP(D34,Datos!$R$24:$T$40,3,FALSE), "0")</f>
        <v>0</v>
      </c>
      <c r="V34" s="67" t="str">
        <f t="shared" si="8"/>
        <v/>
      </c>
      <c r="W34" s="67" t="str">
        <f t="shared" si="9"/>
        <v/>
      </c>
      <c r="X34" s="67" t="str">
        <f t="shared" si="6"/>
        <v/>
      </c>
    </row>
    <row r="35" spans="2:24" ht="38" customHeight="1" x14ac:dyDescent="0.35">
      <c r="B35" s="4"/>
      <c r="C35" s="8" t="str">
        <f t="shared" si="10"/>
        <v>Ciclo Minero 5,2 x 5,6 m
Galería Acceso Portal de Servicio</v>
      </c>
      <c r="D35" s="8"/>
      <c r="E35" s="4"/>
      <c r="F35" s="4"/>
      <c r="G35" s="4"/>
      <c r="H35" s="6"/>
      <c r="I35" s="6"/>
      <c r="J35" s="36"/>
      <c r="K35" s="7"/>
      <c r="L35" s="65"/>
      <c r="M35" s="66"/>
      <c r="N35" s="37"/>
      <c r="O35" s="37"/>
      <c r="P35" s="4"/>
      <c r="Q35" s="4"/>
      <c r="R35" s="4"/>
      <c r="S35" s="36">
        <f t="shared" si="7"/>
        <v>0</v>
      </c>
      <c r="U35" s="45" t="str">
        <f>+IFERROR(VLOOKUP(D35,Datos!$R$24:$T$40,3,FALSE), "0")</f>
        <v>0</v>
      </c>
      <c r="V35" s="67" t="str">
        <f t="shared" si="8"/>
        <v/>
      </c>
      <c r="W35" s="67" t="str">
        <f t="shared" si="9"/>
        <v/>
      </c>
      <c r="X35" s="67" t="str">
        <f t="shared" si="6"/>
        <v/>
      </c>
    </row>
    <row r="36" spans="2:24" ht="58" x14ac:dyDescent="0.35">
      <c r="B36" s="63" t="s">
        <v>3</v>
      </c>
      <c r="C36" s="63" t="s">
        <v>2</v>
      </c>
      <c r="D36" s="63" t="s">
        <v>5</v>
      </c>
      <c r="E36" s="63" t="s">
        <v>22</v>
      </c>
      <c r="F36" s="63" t="s">
        <v>139</v>
      </c>
      <c r="G36" s="63" t="s">
        <v>29</v>
      </c>
      <c r="H36" s="63" t="s">
        <v>121</v>
      </c>
      <c r="I36" s="63" t="s">
        <v>4</v>
      </c>
      <c r="J36" s="64" t="s">
        <v>122</v>
      </c>
      <c r="K36" s="41" t="s">
        <v>131</v>
      </c>
      <c r="L36" s="47" t="s">
        <v>123</v>
      </c>
      <c r="M36" s="40" t="s">
        <v>134</v>
      </c>
      <c r="N36" s="41" t="s">
        <v>24</v>
      </c>
      <c r="O36" s="41" t="s">
        <v>130</v>
      </c>
      <c r="P36" s="40" t="s">
        <v>132</v>
      </c>
      <c r="Q36" s="40" t="s">
        <v>121</v>
      </c>
      <c r="R36" s="40" t="s">
        <v>4</v>
      </c>
      <c r="S36" s="41" t="s">
        <v>137</v>
      </c>
      <c r="U36" s="40"/>
      <c r="V36" s="41" t="s">
        <v>87</v>
      </c>
      <c r="W36" s="41" t="s">
        <v>128</v>
      </c>
      <c r="X36" s="41" t="s">
        <v>128</v>
      </c>
    </row>
    <row r="37" spans="2:24" ht="38" customHeight="1" x14ac:dyDescent="0.35">
      <c r="B37" s="4"/>
      <c r="C37" s="8" t="str">
        <f>+Datos!R43</f>
        <v>Ciclo Minero 9,6 x 7,2 m
Galería Inyección Principal Portal</v>
      </c>
      <c r="D37" s="8"/>
      <c r="E37" s="4"/>
      <c r="F37" s="4"/>
      <c r="G37" s="4"/>
      <c r="H37" s="6"/>
      <c r="I37" s="6"/>
      <c r="J37" s="36"/>
      <c r="K37" s="7"/>
      <c r="L37" s="65"/>
      <c r="M37" s="66"/>
      <c r="N37" s="37"/>
      <c r="O37" s="37"/>
      <c r="P37" s="4"/>
      <c r="Q37" s="6">
        <v>0.43055555555555558</v>
      </c>
      <c r="R37" s="6">
        <v>0.47916666666666669</v>
      </c>
      <c r="S37" s="36">
        <f>+MOD(R37-Q37,1)</f>
        <v>4.8611111111111105E-2</v>
      </c>
      <c r="U37" s="45" t="str">
        <f>+IFERROR(VLOOKUP(D37,Datos!$R$44:$T$60,3,FALSE), "0")</f>
        <v>0</v>
      </c>
      <c r="V37" s="67" t="str">
        <f>IF(OR(D37="Perforación de Fortificación", D37="Perforación de Avance", D37="Perforación Desquinche"), K37*M37, "")</f>
        <v/>
      </c>
      <c r="W37" s="67" t="str">
        <f t="shared" ref="W37:W43" si="11">IF(D37="Extracción de Marina Disparo",K37,"")</f>
        <v/>
      </c>
      <c r="X37" s="67" t="str">
        <f t="shared" si="6"/>
        <v/>
      </c>
    </row>
    <row r="38" spans="2:24" ht="38" customHeight="1" x14ac:dyDescent="0.35">
      <c r="B38" s="4"/>
      <c r="C38" s="8" t="str">
        <f>+C37</f>
        <v>Ciclo Minero 9,6 x 7,2 m
Galería Inyección Principal Portal</v>
      </c>
      <c r="D38" s="8"/>
      <c r="E38" s="4"/>
      <c r="F38" s="4"/>
      <c r="G38" s="4"/>
      <c r="H38" s="6"/>
      <c r="I38" s="6"/>
      <c r="J38" s="36"/>
      <c r="K38" s="7"/>
      <c r="L38" s="65"/>
      <c r="M38" s="66"/>
      <c r="N38" s="37"/>
      <c r="O38" s="37"/>
      <c r="P38" s="4"/>
      <c r="Q38" s="4"/>
      <c r="R38" s="4"/>
      <c r="S38" s="36">
        <f t="shared" ref="S38:S43" si="12">+MOD(R38-Q38,1)</f>
        <v>0</v>
      </c>
      <c r="U38" s="45" t="str">
        <f>+IFERROR(VLOOKUP(D38,Datos!$R$44:$T$60,3,FALSE), "0")</f>
        <v>0</v>
      </c>
      <c r="V38" s="67" t="str">
        <f t="shared" ref="V38:V43" si="13">IF(OR(D38="Perforación de Fortificación", D38="Perforación de Avance", D38="Perforación Desquinche"), K38*M38, "")</f>
        <v/>
      </c>
      <c r="W38" s="67" t="str">
        <f t="shared" si="11"/>
        <v/>
      </c>
      <c r="X38" s="67" t="str">
        <f t="shared" si="6"/>
        <v/>
      </c>
    </row>
    <row r="39" spans="2:24" ht="38" customHeight="1" x14ac:dyDescent="0.35">
      <c r="B39" s="4"/>
      <c r="C39" s="8" t="str">
        <f t="shared" ref="C39:C43" si="14">+C38</f>
        <v>Ciclo Minero 9,6 x 7,2 m
Galería Inyección Principal Portal</v>
      </c>
      <c r="D39" s="8"/>
      <c r="E39" s="4"/>
      <c r="F39" s="4"/>
      <c r="G39" s="4"/>
      <c r="H39" s="6"/>
      <c r="I39" s="6"/>
      <c r="J39" s="36"/>
      <c r="K39" s="7"/>
      <c r="L39" s="65"/>
      <c r="M39" s="66"/>
      <c r="N39" s="37"/>
      <c r="O39" s="37"/>
      <c r="P39" s="4"/>
      <c r="Q39" s="4"/>
      <c r="R39" s="4"/>
      <c r="S39" s="36">
        <f t="shared" si="12"/>
        <v>0</v>
      </c>
      <c r="U39" s="45" t="str">
        <f>+IFERROR(VLOOKUP(D39,Datos!$R$44:$T$60,3,FALSE), "0")</f>
        <v>0</v>
      </c>
      <c r="V39" s="67" t="str">
        <f t="shared" si="13"/>
        <v/>
      </c>
      <c r="W39" s="67" t="str">
        <f t="shared" si="11"/>
        <v/>
      </c>
      <c r="X39" s="67" t="str">
        <f t="shared" si="6"/>
        <v/>
      </c>
    </row>
    <row r="40" spans="2:24" ht="38" customHeight="1" x14ac:dyDescent="0.35">
      <c r="B40" s="4"/>
      <c r="C40" s="8" t="str">
        <f t="shared" si="14"/>
        <v>Ciclo Minero 9,6 x 7,2 m
Galería Inyección Principal Portal</v>
      </c>
      <c r="D40" s="8"/>
      <c r="E40" s="4"/>
      <c r="F40" s="4"/>
      <c r="G40" s="4"/>
      <c r="H40" s="6"/>
      <c r="I40" s="6"/>
      <c r="J40" s="36"/>
      <c r="K40" s="7"/>
      <c r="L40" s="65"/>
      <c r="M40" s="66"/>
      <c r="N40" s="37"/>
      <c r="O40" s="37"/>
      <c r="P40" s="4"/>
      <c r="Q40" s="4"/>
      <c r="R40" s="4"/>
      <c r="S40" s="36">
        <f t="shared" si="12"/>
        <v>0</v>
      </c>
      <c r="U40" s="45" t="str">
        <f>+IFERROR(VLOOKUP(D40,Datos!$R$44:$T$60,3,FALSE), "0")</f>
        <v>0</v>
      </c>
      <c r="V40" s="67" t="str">
        <f t="shared" si="13"/>
        <v/>
      </c>
      <c r="W40" s="67" t="str">
        <f t="shared" si="11"/>
        <v/>
      </c>
      <c r="X40" s="67" t="str">
        <f t="shared" si="6"/>
        <v/>
      </c>
    </row>
    <row r="41" spans="2:24" ht="38" customHeight="1" x14ac:dyDescent="0.35">
      <c r="B41" s="4"/>
      <c r="C41" s="8" t="str">
        <f t="shared" si="14"/>
        <v>Ciclo Minero 9,6 x 7,2 m
Galería Inyección Principal Portal</v>
      </c>
      <c r="D41" s="8"/>
      <c r="E41" s="4"/>
      <c r="F41" s="4"/>
      <c r="G41" s="4"/>
      <c r="H41" s="6"/>
      <c r="I41" s="6"/>
      <c r="J41" s="36"/>
      <c r="K41" s="7"/>
      <c r="L41" s="65"/>
      <c r="M41" s="66"/>
      <c r="N41" s="37"/>
      <c r="O41" s="37"/>
      <c r="P41" s="4"/>
      <c r="Q41" s="4"/>
      <c r="R41" s="4"/>
      <c r="S41" s="36">
        <f t="shared" si="12"/>
        <v>0</v>
      </c>
      <c r="U41" s="45" t="str">
        <f>+IFERROR(VLOOKUP(D41,Datos!$R$44:$T$60,3,FALSE), "0")</f>
        <v>0</v>
      </c>
      <c r="V41" s="67" t="str">
        <f t="shared" si="13"/>
        <v/>
      </c>
      <c r="W41" s="67" t="str">
        <f t="shared" si="11"/>
        <v/>
      </c>
      <c r="X41" s="67" t="str">
        <f t="shared" si="6"/>
        <v/>
      </c>
    </row>
    <row r="42" spans="2:24" ht="38" customHeight="1" x14ac:dyDescent="0.35">
      <c r="B42" s="4"/>
      <c r="C42" s="8" t="str">
        <f t="shared" si="14"/>
        <v>Ciclo Minero 9,6 x 7,2 m
Galería Inyección Principal Portal</v>
      </c>
      <c r="D42" s="8"/>
      <c r="E42" s="4"/>
      <c r="F42" s="4"/>
      <c r="G42" s="4"/>
      <c r="H42" s="6"/>
      <c r="I42" s="6"/>
      <c r="J42" s="36"/>
      <c r="K42" s="7"/>
      <c r="L42" s="65"/>
      <c r="M42" s="66"/>
      <c r="N42" s="37"/>
      <c r="O42" s="37"/>
      <c r="P42" s="4"/>
      <c r="Q42" s="4"/>
      <c r="R42" s="4"/>
      <c r="S42" s="36">
        <f t="shared" si="12"/>
        <v>0</v>
      </c>
      <c r="U42" s="45" t="str">
        <f>+IFERROR(VLOOKUP(D42,Datos!$R$44:$T$60,3,FALSE), "0")</f>
        <v>0</v>
      </c>
      <c r="V42" s="67" t="str">
        <f t="shared" si="13"/>
        <v/>
      </c>
      <c r="W42" s="67" t="str">
        <f t="shared" si="11"/>
        <v/>
      </c>
      <c r="X42" s="67" t="str">
        <f t="shared" si="6"/>
        <v/>
      </c>
    </row>
    <row r="43" spans="2:24" ht="38" customHeight="1" x14ac:dyDescent="0.35">
      <c r="B43" s="4"/>
      <c r="C43" s="8" t="str">
        <f t="shared" si="14"/>
        <v>Ciclo Minero 9,6 x 7,2 m
Galería Inyección Principal Portal</v>
      </c>
      <c r="D43" s="8"/>
      <c r="E43" s="4"/>
      <c r="F43" s="4"/>
      <c r="G43" s="4"/>
      <c r="H43" s="6"/>
      <c r="I43" s="6"/>
      <c r="J43" s="36"/>
      <c r="K43" s="7"/>
      <c r="L43" s="65"/>
      <c r="M43" s="66"/>
      <c r="N43" s="37"/>
      <c r="O43" s="37"/>
      <c r="P43" s="4"/>
      <c r="Q43" s="4"/>
      <c r="R43" s="4"/>
      <c r="S43" s="36">
        <f t="shared" si="12"/>
        <v>0</v>
      </c>
      <c r="U43" s="45" t="str">
        <f>+IFERROR(VLOOKUP(D43,Datos!$R$44:$T$60,3,FALSE), "0")</f>
        <v>0</v>
      </c>
      <c r="V43" s="67" t="str">
        <f t="shared" si="13"/>
        <v/>
      </c>
      <c r="W43" s="67" t="str">
        <f t="shared" si="11"/>
        <v/>
      </c>
      <c r="X43" s="67" t="str">
        <f t="shared" si="6"/>
        <v/>
      </c>
    </row>
    <row r="44" spans="2:24" ht="15.65" customHeight="1" thickBot="1" x14ac:dyDescent="0.4">
      <c r="B44" s="5"/>
      <c r="C44" s="5"/>
      <c r="D44" s="5"/>
      <c r="E44" s="5"/>
      <c r="F44" s="5"/>
      <c r="G44" s="5"/>
      <c r="H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2:24" ht="30" customHeight="1" thickBot="1" x14ac:dyDescent="0.4">
      <c r="B45" s="69"/>
      <c r="C45" s="404" t="s">
        <v>64</v>
      </c>
      <c r="D45" s="404"/>
      <c r="E45" s="70"/>
      <c r="F45" s="70"/>
      <c r="G45" s="70"/>
      <c r="H45" s="70"/>
      <c r="I45" s="71"/>
      <c r="J45" s="72"/>
      <c r="K45" s="5"/>
      <c r="L45" s="5"/>
      <c r="M45" s="5"/>
      <c r="N45" s="5"/>
      <c r="O45" s="5"/>
      <c r="P45" s="5"/>
      <c r="Q45" s="5"/>
      <c r="R45" s="5"/>
      <c r="S45" s="5"/>
    </row>
    <row r="46" spans="2:24" ht="30" customHeight="1" x14ac:dyDescent="0.35">
      <c r="C46" s="54" t="s">
        <v>48</v>
      </c>
      <c r="D46" s="55">
        <f>SUMPRODUCT((LEFT(F21:F43, 1)="C") / (COUNTIF(F21:F43, F21:F43 &amp; "") + (F21:F43="")))</f>
        <v>1</v>
      </c>
      <c r="E46" s="406" t="s">
        <v>90</v>
      </c>
      <c r="F46" s="406"/>
      <c r="G46" s="56">
        <v>0.375</v>
      </c>
      <c r="H46" s="3" t="s">
        <v>23</v>
      </c>
      <c r="I46" s="3"/>
      <c r="J46" s="5"/>
      <c r="K46" s="68"/>
      <c r="L46" s="5"/>
      <c r="M46" s="5"/>
      <c r="N46" s="5"/>
      <c r="O46" s="5"/>
      <c r="P46" s="5"/>
      <c r="Q46" s="5"/>
      <c r="R46" s="5"/>
      <c r="S46" s="5"/>
    </row>
    <row r="47" spans="2:24" ht="30" customHeight="1" x14ac:dyDescent="0.35">
      <c r="C47" s="54" t="s">
        <v>49</v>
      </c>
      <c r="D47" s="55">
        <f>SUMPRODUCT((LEFT(F21:F43, 1)="O") / (COUNTIF(F21:F43, F21:F43 &amp; "") + (F21:F43="")))</f>
        <v>2</v>
      </c>
      <c r="E47" s="405" t="s">
        <v>46</v>
      </c>
      <c r="F47" s="405"/>
      <c r="G47" s="57">
        <f>+SUM(SUMIF($F$21:$F$43, "C*", $J$21:$J$43))/SUMPRODUCT((LEFT(F21:F43, 1)="C") / (COUNTIF(F21:F43, F21:F43 &amp; "") + (F21:F43="")))</f>
        <v>0.24305555555555558</v>
      </c>
      <c r="H47" s="39">
        <f>+G47*24/($G$46*24)</f>
        <v>0.64814814814814825</v>
      </c>
      <c r="I47" s="5"/>
      <c r="J47" s="5"/>
      <c r="K47" s="68"/>
      <c r="L47" s="5"/>
      <c r="M47" s="5"/>
      <c r="N47" s="5"/>
      <c r="O47" s="5"/>
      <c r="P47" s="5"/>
      <c r="Q47" s="5"/>
      <c r="R47" s="5"/>
      <c r="S47" s="5"/>
    </row>
    <row r="48" spans="2:24" ht="30" customHeight="1" x14ac:dyDescent="0.35">
      <c r="E48" s="405" t="s">
        <v>47</v>
      </c>
      <c r="F48" s="405"/>
      <c r="G48" s="57">
        <f>+SUM(SUMIF($F$21:$F$43, "o*", $J$21:$J$43))</f>
        <v>0.19444444444444436</v>
      </c>
      <c r="H48" s="39">
        <f>+G48*24/($G$46*24)</f>
        <v>0.51851851851851827</v>
      </c>
      <c r="I48" s="5"/>
      <c r="J48" s="5"/>
      <c r="K48" s="68"/>
      <c r="L48" s="5"/>
      <c r="M48" s="5"/>
      <c r="N48" s="5"/>
      <c r="O48" s="5"/>
      <c r="P48" s="5"/>
      <c r="Q48" s="5"/>
      <c r="R48" s="5"/>
      <c r="S48" s="5"/>
    </row>
    <row r="49" spans="2:12" ht="30" customHeight="1" x14ac:dyDescent="0.35">
      <c r="E49" s="405" t="s">
        <v>94</v>
      </c>
      <c r="F49" s="405"/>
      <c r="G49" s="57"/>
      <c r="H49" s="39">
        <f>+AVERAGE(N21:N43)</f>
        <v>1</v>
      </c>
      <c r="I49" s="407" t="s">
        <v>153</v>
      </c>
      <c r="J49" s="407"/>
      <c r="K49" s="407" t="s">
        <v>152</v>
      </c>
      <c r="L49" s="407"/>
    </row>
    <row r="50" spans="2:12" x14ac:dyDescent="0.35">
      <c r="E50" s="408" t="s">
        <v>140</v>
      </c>
      <c r="F50" s="408"/>
      <c r="G50" s="408"/>
      <c r="H50" s="46">
        <f>SUMPRODUCT(N21:N27 * U21:U27 * (N21:N27&lt;&gt;"") * (U21:U27&lt;&gt;""))</f>
        <v>0.55733029092983455</v>
      </c>
      <c r="I50" s="403">
        <f>+H50*$K$50*$K$52</f>
        <v>23.184940102681118</v>
      </c>
      <c r="J50" s="403"/>
      <c r="K50" s="402">
        <v>13</v>
      </c>
      <c r="L50" s="402"/>
    </row>
    <row r="51" spans="2:12" ht="14.4" customHeight="1" x14ac:dyDescent="0.35">
      <c r="E51" s="408" t="s">
        <v>141</v>
      </c>
      <c r="F51" s="408"/>
      <c r="G51" s="408"/>
      <c r="H51" s="46">
        <f>+SUMPRODUCT(N29:N35 * U29:U35 * (N29:N35&lt;&gt;"") * (U29:U35&lt;&gt;""))</f>
        <v>0</v>
      </c>
      <c r="I51" s="403">
        <f t="shared" ref="I51:I53" si="15">+H51*$K$50*$K$52</f>
        <v>0</v>
      </c>
      <c r="J51" s="403"/>
      <c r="K51" s="407" t="s">
        <v>151</v>
      </c>
      <c r="L51" s="407"/>
    </row>
    <row r="52" spans="2:12" ht="14.4" customHeight="1" x14ac:dyDescent="0.35">
      <c r="E52" s="408" t="s">
        <v>142</v>
      </c>
      <c r="F52" s="408"/>
      <c r="G52" s="408"/>
      <c r="H52" s="46">
        <f>+SUMPRODUCT(N37:N43 * U37:U43 * (N37:N43&lt;&gt;"") * (U37:U43&lt;&gt;""))</f>
        <v>0</v>
      </c>
      <c r="I52" s="403">
        <f t="shared" si="15"/>
        <v>0</v>
      </c>
      <c r="J52" s="403"/>
      <c r="K52" s="401">
        <v>3.2</v>
      </c>
      <c r="L52" s="401"/>
    </row>
    <row r="53" spans="2:12" x14ac:dyDescent="0.35">
      <c r="E53" s="408" t="s">
        <v>108</v>
      </c>
      <c r="F53" s="408"/>
      <c r="G53" s="408"/>
      <c r="H53" s="46">
        <f>SUMPRODUCT(N21:N27 * U21:U27 * (N21:N27&lt;&gt;"") * (U21:U27&lt;&gt;""))+SUMPRODUCT(N29:N35 * U29:U35 * (N29:N35&lt;&gt;"") * (U29:U35&lt;&gt;""))+SUMPRODUCT(N37:N43 * U37:U43 * (N37:N43&lt;&gt;"") * (U37:U43&lt;&gt;""))</f>
        <v>0.55733029092983455</v>
      </c>
      <c r="I53" s="403">
        <f t="shared" si="15"/>
        <v>23.184940102681118</v>
      </c>
      <c r="J53" s="403"/>
    </row>
    <row r="54" spans="2:12" ht="7.75" customHeight="1" thickBot="1" x14ac:dyDescent="0.4"/>
    <row r="55" spans="2:12" ht="30" customHeight="1" thickBot="1" x14ac:dyDescent="0.4">
      <c r="B55" s="69"/>
      <c r="C55" s="404" t="s">
        <v>88</v>
      </c>
      <c r="D55" s="404"/>
      <c r="E55" s="70"/>
      <c r="F55" s="70"/>
      <c r="G55" s="70"/>
      <c r="H55" s="70"/>
      <c r="I55" s="71"/>
      <c r="J55" s="72"/>
    </row>
    <row r="56" spans="2:12" ht="38" customHeight="1" x14ac:dyDescent="0.35">
      <c r="C56" s="58" t="s">
        <v>89</v>
      </c>
      <c r="D56" s="55">
        <f>SUMPRODUCT((LEFT(G21:G43, 5)="Jumbo") / (COUNTIF(G21:G43, G21:G43 &amp; "") + (G21:G43="")))</f>
        <v>1</v>
      </c>
      <c r="E56" s="406" t="s">
        <v>90</v>
      </c>
      <c r="F56" s="406"/>
      <c r="G56" s="56">
        <v>0.20833333333333334</v>
      </c>
      <c r="I56" s="3"/>
      <c r="J56" s="5"/>
    </row>
    <row r="57" spans="2:12" ht="38" customHeight="1" x14ac:dyDescent="0.35">
      <c r="E57" s="406" t="s">
        <v>93</v>
      </c>
      <c r="F57" s="406"/>
      <c r="G57" s="55">
        <f>15000/(60)</f>
        <v>250</v>
      </c>
      <c r="H57" s="60" t="s">
        <v>143</v>
      </c>
      <c r="I57" s="3"/>
      <c r="J57" s="5"/>
    </row>
    <row r="58" spans="2:12" ht="38" customHeight="1" x14ac:dyDescent="0.35">
      <c r="E58" s="405" t="s">
        <v>91</v>
      </c>
      <c r="F58" s="405"/>
      <c r="G58" s="57">
        <f>+SUM(SUMIF($G$21:$G$43, "Jumbo*", $J$21:$J$43))/SUMPRODUCT((LEFT(G21:G43, 5)="Jumbo") / (COUNTIF(G21:G43, G21:G43 &amp; "") + (G21:G43="")))</f>
        <v>0.15277777777777773</v>
      </c>
      <c r="H58" s="39">
        <f>+G58*24/($G$56*24)</f>
        <v>0.73333333333333317</v>
      </c>
      <c r="I58" s="5"/>
      <c r="J58" s="5"/>
    </row>
    <row r="59" spans="2:12" ht="38" customHeight="1" x14ac:dyDescent="0.35">
      <c r="E59" s="405" t="s">
        <v>92</v>
      </c>
      <c r="F59" s="405"/>
      <c r="G59" s="59">
        <f>+SUM(V21:V43)/D56</f>
        <v>132</v>
      </c>
      <c r="H59" s="39">
        <f>+G59/G57</f>
        <v>0.52800000000000002</v>
      </c>
      <c r="I59" s="5"/>
      <c r="J59" s="5"/>
    </row>
    <row r="60" spans="2:12" ht="38" customHeight="1" x14ac:dyDescent="0.35">
      <c r="G60" s="38" t="s">
        <v>87</v>
      </c>
      <c r="H60" s="3" t="s">
        <v>23</v>
      </c>
    </row>
    <row r="61" spans="2:12" ht="20" customHeight="1" x14ac:dyDescent="0.35">
      <c r="F61" s="53" t="s">
        <v>65</v>
      </c>
      <c r="G61" s="59">
        <f t="shared" ref="G61:G66" si="16" xml:space="preserve"> SUMIF($G$21:$G$43, +F61,$V$21:$V$43)</f>
        <v>0</v>
      </c>
      <c r="H61" s="39">
        <f t="shared" ref="H61:H66" si="17">+G61/$G$57</f>
        <v>0</v>
      </c>
    </row>
    <row r="62" spans="2:12" ht="20" customHeight="1" x14ac:dyDescent="0.35">
      <c r="F62" s="53" t="s">
        <v>66</v>
      </c>
      <c r="G62" s="59">
        <f t="shared" si="16"/>
        <v>132</v>
      </c>
      <c r="H62" s="39">
        <f t="shared" si="17"/>
        <v>0.52800000000000002</v>
      </c>
    </row>
    <row r="63" spans="2:12" ht="20" customHeight="1" x14ac:dyDescent="0.35">
      <c r="F63" s="53" t="s">
        <v>67</v>
      </c>
      <c r="G63" s="59">
        <f t="shared" si="16"/>
        <v>0</v>
      </c>
      <c r="H63" s="39">
        <f t="shared" si="17"/>
        <v>0</v>
      </c>
    </row>
    <row r="64" spans="2:12" ht="20" customHeight="1" x14ac:dyDescent="0.35">
      <c r="F64" s="53" t="s">
        <v>68</v>
      </c>
      <c r="G64" s="59">
        <f t="shared" si="16"/>
        <v>0</v>
      </c>
      <c r="H64" s="39">
        <f t="shared" si="17"/>
        <v>0</v>
      </c>
    </row>
    <row r="65" spans="2:10" ht="20" customHeight="1" x14ac:dyDescent="0.35">
      <c r="F65" s="53" t="s">
        <v>69</v>
      </c>
      <c r="G65" s="59">
        <f t="shared" si="16"/>
        <v>0</v>
      </c>
      <c r="H65" s="39">
        <f t="shared" si="17"/>
        <v>0</v>
      </c>
    </row>
    <row r="66" spans="2:10" ht="20" customHeight="1" x14ac:dyDescent="0.35">
      <c r="F66" s="53" t="s">
        <v>70</v>
      </c>
      <c r="G66" s="59">
        <f t="shared" si="16"/>
        <v>0</v>
      </c>
      <c r="H66" s="39">
        <f t="shared" si="17"/>
        <v>0</v>
      </c>
    </row>
    <row r="67" spans="2:10" ht="20" customHeight="1" x14ac:dyDescent="0.35">
      <c r="F67" s="53" t="s">
        <v>146</v>
      </c>
      <c r="G67" s="59">
        <f>+SUM(G61:G66)</f>
        <v>132</v>
      </c>
      <c r="H67" s="39">
        <f>+G67/($G$57*$D$56)</f>
        <v>0.52800000000000002</v>
      </c>
    </row>
    <row r="68" spans="2:10" ht="15" thickBot="1" x14ac:dyDescent="0.4"/>
    <row r="69" spans="2:10" ht="30" customHeight="1" thickBot="1" x14ac:dyDescent="0.4">
      <c r="B69" s="69"/>
      <c r="C69" s="404" t="s">
        <v>107</v>
      </c>
      <c r="D69" s="404"/>
      <c r="E69" s="70"/>
      <c r="F69" s="70"/>
      <c r="G69" s="70"/>
      <c r="H69" s="70"/>
      <c r="I69" s="71"/>
      <c r="J69" s="72"/>
    </row>
    <row r="70" spans="2:10" ht="38" customHeight="1" x14ac:dyDescent="0.35">
      <c r="C70" s="53" t="s">
        <v>95</v>
      </c>
      <c r="D70" s="55">
        <f>SUMPRODUCT((LEFT(G21:G43, 5)="Scoop") / (COUNTIF(G21:G43, G21:G43 &amp; "") + (G21:G43="")))</f>
        <v>1</v>
      </c>
      <c r="E70" s="406" t="s">
        <v>90</v>
      </c>
      <c r="F70" s="406"/>
      <c r="G70" s="56">
        <v>0.20833333333333334</v>
      </c>
      <c r="I70" s="3"/>
      <c r="J70" s="5"/>
    </row>
    <row r="71" spans="2:10" ht="38" customHeight="1" x14ac:dyDescent="0.35">
      <c r="C71" s="53" t="s">
        <v>145</v>
      </c>
      <c r="D71" s="55">
        <v>4.9000000000000004</v>
      </c>
      <c r="E71" s="406" t="s">
        <v>97</v>
      </c>
      <c r="F71" s="406"/>
      <c r="G71" s="55">
        <f>15000/(60)</f>
        <v>250</v>
      </c>
      <c r="H71" s="60" t="s">
        <v>23</v>
      </c>
      <c r="I71" s="3"/>
      <c r="J71" s="5"/>
    </row>
    <row r="72" spans="2:10" ht="38" customHeight="1" x14ac:dyDescent="0.35">
      <c r="E72" s="405" t="s">
        <v>98</v>
      </c>
      <c r="F72" s="405"/>
      <c r="G72" s="57">
        <f>+SUM(SUMIF($G$21:$G$43, "Scoop*", $J$21:$J$43))/SUMPRODUCT((LEFT(G21:G43, 5)="Scoop") / (COUNTIF(G21:G43, G21:G43 &amp; "") + (G21:G43="")))</f>
        <v>4.166666666666663E-2</v>
      </c>
      <c r="H72" s="39">
        <f>+G72*24/($G$70*24)</f>
        <v>0.19999999999999982</v>
      </c>
      <c r="I72" s="5"/>
      <c r="J72" s="5"/>
    </row>
    <row r="73" spans="2:10" ht="38" customHeight="1" x14ac:dyDescent="0.35">
      <c r="E73" s="405" t="s">
        <v>99</v>
      </c>
      <c r="F73" s="405"/>
      <c r="G73" s="59">
        <f>+SUM(W21:W43)*D71/D70</f>
        <v>294</v>
      </c>
      <c r="H73" s="39">
        <f>+G73/G71</f>
        <v>1.1759999999999999</v>
      </c>
      <c r="I73" s="5"/>
      <c r="J73" s="5"/>
    </row>
    <row r="74" spans="2:10" ht="38" customHeight="1" x14ac:dyDescent="0.35">
      <c r="G74" s="38" t="s">
        <v>96</v>
      </c>
      <c r="H74" s="3" t="s">
        <v>23</v>
      </c>
    </row>
    <row r="75" spans="2:10" ht="20" customHeight="1" x14ac:dyDescent="0.35">
      <c r="F75" s="53" t="s">
        <v>71</v>
      </c>
      <c r="G75" s="59">
        <f xml:space="preserve"> SUMIF($G$21:$G$43, +F75,$W$21:$W$43)*$D$71</f>
        <v>294</v>
      </c>
      <c r="H75" s="39">
        <f>+G75/$G$71</f>
        <v>1.1759999999999999</v>
      </c>
    </row>
    <row r="76" spans="2:10" ht="20" customHeight="1" x14ac:dyDescent="0.35">
      <c r="F76" s="53" t="s">
        <v>72</v>
      </c>
      <c r="G76" s="59">
        <f t="shared" ref="G76:G80" si="18" xml:space="preserve"> SUMIF($G$21:$G$43, +F76,$W$21:$W$43)*$D$71</f>
        <v>0</v>
      </c>
      <c r="H76" s="39">
        <f t="shared" ref="H76:H81" si="19">+G76/$G$71</f>
        <v>0</v>
      </c>
    </row>
    <row r="77" spans="2:10" ht="20" customHeight="1" x14ac:dyDescent="0.35">
      <c r="F77" s="53" t="s">
        <v>73</v>
      </c>
      <c r="G77" s="59">
        <f t="shared" si="18"/>
        <v>0</v>
      </c>
      <c r="H77" s="39">
        <f t="shared" si="19"/>
        <v>0</v>
      </c>
    </row>
    <row r="78" spans="2:10" ht="20" customHeight="1" x14ac:dyDescent="0.35">
      <c r="F78" s="53" t="s">
        <v>74</v>
      </c>
      <c r="G78" s="59">
        <f t="shared" si="18"/>
        <v>0</v>
      </c>
      <c r="H78" s="39">
        <f t="shared" si="19"/>
        <v>0</v>
      </c>
    </row>
    <row r="79" spans="2:10" ht="20" customHeight="1" x14ac:dyDescent="0.35">
      <c r="F79" s="53" t="s">
        <v>75</v>
      </c>
      <c r="G79" s="59">
        <f t="shared" si="18"/>
        <v>0</v>
      </c>
      <c r="H79" s="39">
        <f t="shared" si="19"/>
        <v>0</v>
      </c>
    </row>
    <row r="80" spans="2:10" ht="20" customHeight="1" x14ac:dyDescent="0.35">
      <c r="F80" s="53" t="s">
        <v>76</v>
      </c>
      <c r="G80" s="59">
        <f t="shared" si="18"/>
        <v>0</v>
      </c>
      <c r="H80" s="39">
        <f t="shared" si="19"/>
        <v>0</v>
      </c>
    </row>
    <row r="81" spans="2:10" ht="20" customHeight="1" x14ac:dyDescent="0.35">
      <c r="F81" s="53" t="s">
        <v>146</v>
      </c>
      <c r="G81" s="59">
        <f>+SUM(G75:G80)</f>
        <v>294</v>
      </c>
      <c r="H81" s="39">
        <f t="shared" si="19"/>
        <v>1.1759999999999999</v>
      </c>
    </row>
    <row r="82" spans="2:10" ht="15" thickBot="1" x14ac:dyDescent="0.4"/>
    <row r="83" spans="2:10" ht="30" customHeight="1" thickBot="1" x14ac:dyDescent="0.4">
      <c r="B83" s="69"/>
      <c r="C83" s="404" t="s">
        <v>149</v>
      </c>
      <c r="D83" s="404"/>
      <c r="E83" s="70"/>
      <c r="F83" s="70"/>
      <c r="G83" s="70"/>
      <c r="H83" s="70"/>
      <c r="I83" s="71"/>
      <c r="J83" s="72"/>
    </row>
    <row r="84" spans="2:10" ht="25.25" customHeight="1" x14ac:dyDescent="0.35">
      <c r="C84" s="53" t="s">
        <v>150</v>
      </c>
      <c r="D84" s="55">
        <f>SUMPRODUCT((LEFT(G21:G43, 8)="Roboshot") / (COUNTIF(G21:G43, G21:G43 &amp; "") + (G21:G43="")))</f>
        <v>0</v>
      </c>
      <c r="E84" s="406" t="s">
        <v>90</v>
      </c>
      <c r="F84" s="406"/>
      <c r="G84" s="56">
        <v>0.20833333333333334</v>
      </c>
    </row>
    <row r="85" spans="2:10" x14ac:dyDescent="0.35">
      <c r="C85" s="53"/>
      <c r="D85" s="55"/>
      <c r="E85" s="406" t="s">
        <v>97</v>
      </c>
      <c r="F85" s="406"/>
      <c r="G85" s="55">
        <v>12</v>
      </c>
      <c r="H85" s="60" t="s">
        <v>23</v>
      </c>
    </row>
    <row r="87" spans="2:10" x14ac:dyDescent="0.35">
      <c r="G87" s="38" t="s">
        <v>96</v>
      </c>
      <c r="H87" s="3" t="s">
        <v>23</v>
      </c>
    </row>
    <row r="88" spans="2:10" x14ac:dyDescent="0.35">
      <c r="F88" s="53" t="s">
        <v>77</v>
      </c>
      <c r="G88" s="59">
        <f xml:space="preserve"> SUMIF($G$21:$G$43, +F88,$X$21:$X$43)</f>
        <v>0</v>
      </c>
      <c r="H88" s="39">
        <f>+G88/$G$85</f>
        <v>0</v>
      </c>
    </row>
    <row r="89" spans="2:10" x14ac:dyDescent="0.35">
      <c r="F89" s="53" t="s">
        <v>78</v>
      </c>
      <c r="G89" s="59">
        <f t="shared" ref="G89:G90" si="20" xml:space="preserve"> SUMIF($G$21:$G$43, +F89,$X$21:$X$43)</f>
        <v>0</v>
      </c>
      <c r="H89" s="39">
        <f t="shared" ref="H89:H90" si="21">+G89/$G$85</f>
        <v>0</v>
      </c>
    </row>
    <row r="90" spans="2:10" x14ac:dyDescent="0.35">
      <c r="F90" s="53" t="s">
        <v>79</v>
      </c>
      <c r="G90" s="59">
        <f t="shared" si="20"/>
        <v>0</v>
      </c>
      <c r="H90" s="39">
        <f t="shared" si="21"/>
        <v>0</v>
      </c>
    </row>
    <row r="91" spans="2:10" x14ac:dyDescent="0.35">
      <c r="F91" s="53" t="s">
        <v>146</v>
      </c>
      <c r="G91" s="59">
        <f>+SUM(G88:G90)</f>
        <v>0</v>
      </c>
      <c r="H91" s="39">
        <f>+G91/$G$85</f>
        <v>0</v>
      </c>
    </row>
  </sheetData>
  <mergeCells count="42">
    <mergeCell ref="E84:F84"/>
    <mergeCell ref="E85:F85"/>
    <mergeCell ref="E59:F59"/>
    <mergeCell ref="E57:F57"/>
    <mergeCell ref="B1:D4"/>
    <mergeCell ref="E2:R2"/>
    <mergeCell ref="E3:R4"/>
    <mergeCell ref="B14:S14"/>
    <mergeCell ref="K6:L6"/>
    <mergeCell ref="K7:L7"/>
    <mergeCell ref="K8:L8"/>
    <mergeCell ref="K9:L9"/>
    <mergeCell ref="K11:L11"/>
    <mergeCell ref="K12:L12"/>
    <mergeCell ref="K10:L10"/>
    <mergeCell ref="I49:J49"/>
    <mergeCell ref="K49:L49"/>
    <mergeCell ref="K51:L51"/>
    <mergeCell ref="E50:G50"/>
    <mergeCell ref="E51:G51"/>
    <mergeCell ref="C83:D83"/>
    <mergeCell ref="C69:D69"/>
    <mergeCell ref="E70:F70"/>
    <mergeCell ref="E71:F71"/>
    <mergeCell ref="C55:D55"/>
    <mergeCell ref="E56:F56"/>
    <mergeCell ref="E58:F58"/>
    <mergeCell ref="E72:F72"/>
    <mergeCell ref="E52:G52"/>
    <mergeCell ref="E53:G53"/>
    <mergeCell ref="E73:F73"/>
    <mergeCell ref="I53:J53"/>
    <mergeCell ref="C45:D45"/>
    <mergeCell ref="E47:F47"/>
    <mergeCell ref="E48:F48"/>
    <mergeCell ref="E46:F46"/>
    <mergeCell ref="E49:F49"/>
    <mergeCell ref="K52:L52"/>
    <mergeCell ref="K50:L50"/>
    <mergeCell ref="I50:J50"/>
    <mergeCell ref="I51:J51"/>
    <mergeCell ref="I52:J52"/>
  </mergeCells>
  <phoneticPr fontId="6" type="noConversion"/>
  <conditionalFormatting sqref="H47:H49">
    <cfRule type="cellIs" dxfId="1274" priority="25" operator="greaterThan">
      <formula>0.9</formula>
    </cfRule>
    <cfRule type="cellIs" dxfId="1273" priority="26" operator="between">
      <formula>0.81</formula>
      <formula>0.89</formula>
    </cfRule>
    <cfRule type="cellIs" dxfId="1272" priority="27" operator="lessThan">
      <formula>0.8</formula>
    </cfRule>
  </conditionalFormatting>
  <conditionalFormatting sqref="H58:H59">
    <cfRule type="cellIs" dxfId="1271" priority="28" operator="greaterThan">
      <formula>0.9</formula>
    </cfRule>
    <cfRule type="cellIs" dxfId="1270" priority="29" operator="between">
      <formula>0.81</formula>
      <formula>0.89</formula>
    </cfRule>
    <cfRule type="cellIs" dxfId="1269" priority="30" operator="lessThan">
      <formula>0.8</formula>
    </cfRule>
  </conditionalFormatting>
  <conditionalFormatting sqref="H61:H67">
    <cfRule type="cellIs" dxfId="1268" priority="31" operator="greaterThan">
      <formula>0.9</formula>
    </cfRule>
    <cfRule type="cellIs" dxfId="1267" priority="32" operator="between">
      <formula>0.81</formula>
      <formula>0.89</formula>
    </cfRule>
    <cfRule type="cellIs" dxfId="1266" priority="33" operator="lessThan">
      <formula>0.8</formula>
    </cfRule>
  </conditionalFormatting>
  <conditionalFormatting sqref="H72:H73">
    <cfRule type="cellIs" dxfId="1265" priority="16" operator="greaterThan">
      <formula>0.9</formula>
    </cfRule>
    <cfRule type="cellIs" dxfId="1264" priority="17" operator="between">
      <formula>0.81</formula>
      <formula>0.89</formula>
    </cfRule>
    <cfRule type="cellIs" dxfId="1263" priority="18" operator="lessThan">
      <formula>0.8</formula>
    </cfRule>
  </conditionalFormatting>
  <conditionalFormatting sqref="H75:H81">
    <cfRule type="cellIs" dxfId="1262" priority="19" operator="greaterThan">
      <formula>0.9</formula>
    </cfRule>
    <cfRule type="cellIs" dxfId="1261" priority="20" operator="between">
      <formula>0.81</formula>
      <formula>0.89</formula>
    </cfRule>
    <cfRule type="cellIs" dxfId="1260" priority="21" operator="lessThan">
      <formula>0.8</formula>
    </cfRule>
  </conditionalFormatting>
  <conditionalFormatting sqref="H88:H91">
    <cfRule type="cellIs" dxfId="1259" priority="1" operator="greaterThan">
      <formula>0.9</formula>
    </cfRule>
    <cfRule type="cellIs" dxfId="1258" priority="2" operator="between">
      <formula>0.81</formula>
      <formula>0.89</formula>
    </cfRule>
    <cfRule type="cellIs" dxfId="1257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ignoredErrors>
    <ignoredError sqref="H58" evalError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1CF5EBE-D479-4AD9-9052-17AC405BD95A}">
          <x14:formula1>
            <xm:f>Datos!$B$3:$B$8</xm:f>
          </x14:formula1>
          <xm:sqref>E21:E27 E29:E35 E37:E43</xm:sqref>
        </x14:dataValidation>
        <x14:dataValidation type="list" allowBlank="1" showInputMessage="1" showErrorMessage="1" xr:uid="{A50F6D43-4602-429B-9166-598909BE9B98}">
          <x14:formula1>
            <xm:f>Datos!$D$3:$D$27</xm:f>
          </x14:formula1>
          <xm:sqref>F37:F43 F29:F35 F21:F27</xm:sqref>
        </x14:dataValidation>
        <x14:dataValidation type="list" allowBlank="1" showInputMessage="1" showErrorMessage="1" xr:uid="{C87AAD4F-54E7-4ED4-9AEA-79E6F262D34A}">
          <x14:formula1>
            <xm:f>Datos!$W$3:$W$12</xm:f>
          </x14:formula1>
          <xm:sqref>L37:L43 L21:L27 L29:L35</xm:sqref>
        </x14:dataValidation>
        <x14:dataValidation type="list" allowBlank="1" showInputMessage="1" showErrorMessage="1" xr:uid="{0B079C5E-98C3-4610-8F7D-33DA0FF0871C}">
          <x14:formula1>
            <xm:f>Datos!$F$3:$F$41</xm:f>
          </x14:formula1>
          <xm:sqref>G37:G43 G29:G35 G21:G27</xm:sqref>
        </x14:dataValidation>
        <x14:dataValidation type="list" allowBlank="1" showInputMessage="1" showErrorMessage="1" xr:uid="{25067B22-B9BA-40FC-A95F-E0A4FB4A30E8}">
          <x14:formula1>
            <xm:f>Datos!$H$3:$H$26</xm:f>
          </x14:formula1>
          <xm:sqref>D29:D35 D21:D27 D37:D43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D729-8B5B-4A0B-81DF-6AB89A163507}">
  <sheetPr codeName="Hoja2">
    <pageSetUpPr fitToPage="1"/>
  </sheetPr>
  <dimension ref="B1:X81"/>
  <sheetViews>
    <sheetView showGridLines="0" topLeftCell="A21" zoomScale="55" zoomScaleNormal="55" zoomScaleSheetLayoutView="50" workbookViewId="0">
      <selection activeCell="P46" sqref="P46"/>
    </sheetView>
  </sheetViews>
  <sheetFormatPr baseColWidth="10" defaultRowHeight="14.5" x14ac:dyDescent="0.35"/>
  <cols>
    <col min="1" max="1" width="2.81640625" customWidth="1"/>
    <col min="2" max="2" width="11.6328125" hidden="1" customWidth="1"/>
    <col min="3" max="3" width="23.1796875" hidden="1" customWidth="1"/>
    <col min="4" max="4" width="24.08984375" customWidth="1"/>
    <col min="5" max="5" width="14.1796875" hidden="1" customWidth="1"/>
    <col min="6" max="6" width="19.453125" customWidth="1"/>
    <col min="7" max="7" width="15.81640625" customWidth="1"/>
    <col min="8" max="8" width="19.36328125" bestFit="1" customWidth="1"/>
    <col min="9" max="9" width="11.81640625" customWidth="1"/>
    <col min="10" max="10" width="17" customWidth="1"/>
    <col min="11" max="11" width="19.1796875" customWidth="1"/>
    <col min="12" max="12" width="12.36328125" customWidth="1"/>
    <col min="13" max="13" width="19" customWidth="1"/>
    <col min="14" max="14" width="19.6328125" customWidth="1"/>
    <col min="15" max="15" width="55.90625" customWidth="1"/>
    <col min="16" max="16" width="25.453125" customWidth="1"/>
    <col min="17" max="17" width="12.6328125" customWidth="1"/>
    <col min="18" max="18" width="12.08984375" customWidth="1"/>
    <col min="19" max="19" width="19.54296875" customWidth="1"/>
    <col min="20" max="20" width="4" customWidth="1"/>
    <col min="21" max="21" width="20.54296875" customWidth="1"/>
    <col min="22" max="24" width="11.54296875" customWidth="1"/>
  </cols>
  <sheetData>
    <row r="1" spans="2:19" ht="24.5" customHeight="1" x14ac:dyDescent="0.35">
      <c r="B1" s="409"/>
      <c r="C1" s="410"/>
      <c r="D1" s="411"/>
      <c r="S1" s="1" t="s">
        <v>10</v>
      </c>
    </row>
    <row r="2" spans="2:19" ht="24.5" customHeight="1" x14ac:dyDescent="0.35">
      <c r="B2" s="412"/>
      <c r="C2" s="413"/>
      <c r="D2" s="414"/>
      <c r="E2" s="415" t="s">
        <v>0</v>
      </c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2"/>
    </row>
    <row r="3" spans="2:19" x14ac:dyDescent="0.35">
      <c r="B3" s="412"/>
      <c r="C3" s="413"/>
      <c r="D3" s="414"/>
      <c r="E3" s="415" t="s">
        <v>17</v>
      </c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6"/>
      <c r="S3" s="2" t="s">
        <v>1</v>
      </c>
    </row>
    <row r="4" spans="2:19" x14ac:dyDescent="0.35">
      <c r="B4" s="412"/>
      <c r="C4" s="413"/>
      <c r="D4" s="414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6"/>
      <c r="S4" s="19" t="s">
        <v>16</v>
      </c>
    </row>
    <row r="5" spans="2:19" ht="17" customHeight="1" x14ac:dyDescent="0.4">
      <c r="B5" s="20"/>
      <c r="C5" s="21"/>
      <c r="D5" s="22"/>
      <c r="E5" s="23"/>
      <c r="F5" s="23"/>
      <c r="G5" s="23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4"/>
    </row>
    <row r="6" spans="2:19" ht="17" customHeight="1" x14ac:dyDescent="0.4">
      <c r="B6" s="25"/>
      <c r="C6" s="61" t="s">
        <v>18</v>
      </c>
      <c r="D6" s="52"/>
      <c r="E6" s="10"/>
      <c r="F6" s="10"/>
      <c r="G6" s="10"/>
      <c r="H6" s="9"/>
      <c r="I6" s="9"/>
      <c r="J6" s="52"/>
      <c r="K6" s="420" t="s">
        <v>119</v>
      </c>
      <c r="L6" s="420"/>
      <c r="M6" s="48" t="e">
        <f>+G37</f>
        <v>#DIV/0!</v>
      </c>
      <c r="O6" s="9"/>
      <c r="P6" s="9"/>
      <c r="Q6" s="9"/>
      <c r="R6" s="9"/>
      <c r="S6" s="26"/>
    </row>
    <row r="7" spans="2:19" ht="17" customHeight="1" x14ac:dyDescent="0.4">
      <c r="B7" s="25"/>
      <c r="C7" s="52" t="s">
        <v>19</v>
      </c>
      <c r="D7" s="52"/>
      <c r="E7" s="10"/>
      <c r="F7" s="10"/>
      <c r="G7" s="10"/>
      <c r="H7" s="9"/>
      <c r="I7" s="9"/>
      <c r="J7" s="52"/>
      <c r="K7" s="420" t="s">
        <v>117</v>
      </c>
      <c r="L7" s="420"/>
      <c r="M7" s="49">
        <f>+H39</f>
        <v>0.62547169811320757</v>
      </c>
      <c r="O7" s="9"/>
      <c r="P7" s="9"/>
      <c r="Q7" s="9"/>
      <c r="R7" s="9"/>
      <c r="S7" s="26"/>
    </row>
    <row r="8" spans="2:19" ht="17" customHeight="1" x14ac:dyDescent="0.4">
      <c r="B8" s="25"/>
      <c r="C8" s="52" t="s">
        <v>20</v>
      </c>
      <c r="D8" s="52"/>
      <c r="E8" s="10"/>
      <c r="F8" s="10"/>
      <c r="G8" s="10"/>
      <c r="H8" s="9"/>
      <c r="I8" s="9"/>
      <c r="J8" s="52" t="s">
        <v>115</v>
      </c>
      <c r="K8" s="420" t="s">
        <v>118</v>
      </c>
      <c r="L8" s="420"/>
      <c r="M8" s="50">
        <f>+G57</f>
        <v>251</v>
      </c>
      <c r="O8" s="9"/>
      <c r="P8" s="9"/>
      <c r="Q8" s="9"/>
      <c r="R8" s="9"/>
      <c r="S8" s="26"/>
    </row>
    <row r="9" spans="2:19" ht="17" customHeight="1" x14ac:dyDescent="0.4">
      <c r="B9" s="25"/>
      <c r="C9" s="52" t="s">
        <v>21</v>
      </c>
      <c r="D9" s="52"/>
      <c r="E9" s="10"/>
      <c r="F9" s="10"/>
      <c r="G9" s="10"/>
      <c r="H9" s="9"/>
      <c r="I9" s="9"/>
      <c r="J9" s="52" t="s">
        <v>116</v>
      </c>
      <c r="K9" s="420" t="s">
        <v>147</v>
      </c>
      <c r="L9" s="420"/>
      <c r="M9" s="50">
        <f>+G71</f>
        <v>857.50000000000011</v>
      </c>
      <c r="O9" s="9"/>
      <c r="P9" s="9"/>
      <c r="Q9" s="9"/>
      <c r="R9" s="9"/>
      <c r="S9" s="26"/>
    </row>
    <row r="10" spans="2:19" ht="17" customHeight="1" x14ac:dyDescent="0.4">
      <c r="B10" s="25"/>
      <c r="C10" s="52"/>
      <c r="D10" s="52"/>
      <c r="E10" s="10"/>
      <c r="F10" s="10"/>
      <c r="G10" s="10"/>
      <c r="H10" s="9"/>
      <c r="I10" s="9"/>
      <c r="J10" s="52"/>
      <c r="K10" s="420" t="s">
        <v>148</v>
      </c>
      <c r="L10" s="420"/>
      <c r="M10" s="50">
        <f>+G81</f>
        <v>0</v>
      </c>
      <c r="O10" s="9"/>
      <c r="P10" s="9"/>
      <c r="Q10" s="9"/>
      <c r="R10" s="9"/>
      <c r="S10" s="26"/>
    </row>
    <row r="11" spans="2:19" ht="17" customHeight="1" x14ac:dyDescent="0.4">
      <c r="B11" s="25"/>
      <c r="C11" s="61"/>
      <c r="D11" s="52"/>
      <c r="E11" s="10"/>
      <c r="F11" s="10"/>
      <c r="G11" s="10"/>
      <c r="H11" s="9"/>
      <c r="I11" s="9"/>
      <c r="J11" s="52"/>
      <c r="K11" s="420" t="s">
        <v>120</v>
      </c>
      <c r="L11" s="420"/>
      <c r="M11" s="51" t="e">
        <f>+#REF!</f>
        <v>#REF!</v>
      </c>
      <c r="O11" s="9"/>
      <c r="P11" s="9"/>
      <c r="Q11" s="9"/>
      <c r="R11" s="9"/>
      <c r="S11" s="26"/>
    </row>
    <row r="12" spans="2:19" ht="17" customHeight="1" x14ac:dyDescent="0.4">
      <c r="B12" s="25"/>
      <c r="C12" s="52"/>
      <c r="D12" s="52"/>
      <c r="E12" s="10"/>
      <c r="F12" s="10"/>
      <c r="G12" s="10"/>
      <c r="H12" s="9"/>
      <c r="I12" s="9"/>
      <c r="J12" s="52"/>
      <c r="K12" s="420" t="s">
        <v>133</v>
      </c>
      <c r="L12" s="420"/>
      <c r="M12" s="62">
        <f>+SUM(D15:D16,D17:D18,K15:K16,K17:K18,P15:P16,P17:P18)</f>
        <v>63</v>
      </c>
      <c r="O12" s="9"/>
      <c r="P12" s="9"/>
      <c r="Q12" s="9"/>
      <c r="R12" s="9"/>
      <c r="S12" s="26"/>
    </row>
    <row r="13" spans="2:19" ht="17" customHeight="1" x14ac:dyDescent="0.4">
      <c r="B13" s="27"/>
      <c r="C13" s="17"/>
      <c r="D13" s="28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30"/>
    </row>
    <row r="14" spans="2:19" ht="17" customHeight="1" x14ac:dyDescent="0.4">
      <c r="B14" s="417" t="s">
        <v>15</v>
      </c>
      <c r="C14" s="418"/>
      <c r="D14" s="418"/>
      <c r="E14" s="418"/>
      <c r="F14" s="418"/>
      <c r="G14" s="418"/>
      <c r="H14" s="418"/>
      <c r="I14" s="418"/>
      <c r="J14" s="418"/>
      <c r="K14" s="418"/>
      <c r="L14" s="418"/>
      <c r="M14" s="418"/>
      <c r="N14" s="418"/>
      <c r="O14" s="418"/>
      <c r="P14" s="418"/>
      <c r="Q14" s="418"/>
      <c r="R14" s="418"/>
      <c r="S14" s="419"/>
    </row>
    <row r="15" spans="2:19" ht="21" customHeight="1" x14ac:dyDescent="0.35">
      <c r="B15" s="31" t="s">
        <v>6</v>
      </c>
      <c r="C15" s="11" t="s">
        <v>8</v>
      </c>
      <c r="D15" s="12">
        <v>10</v>
      </c>
      <c r="E15" s="12"/>
      <c r="F15" s="12"/>
      <c r="G15" s="12"/>
      <c r="H15" s="12" t="s">
        <v>11</v>
      </c>
      <c r="I15" s="12"/>
      <c r="J15" s="11" t="s">
        <v>8</v>
      </c>
      <c r="K15" s="12">
        <v>10</v>
      </c>
      <c r="L15" s="13"/>
      <c r="M15" s="13"/>
      <c r="N15" s="33" t="s">
        <v>13</v>
      </c>
      <c r="O15" s="11" t="s">
        <v>8</v>
      </c>
      <c r="P15" s="12">
        <v>10</v>
      </c>
      <c r="Q15" s="13"/>
      <c r="R15" s="12"/>
      <c r="S15" s="14"/>
    </row>
    <row r="16" spans="2:19" ht="21" customHeight="1" x14ac:dyDescent="0.35">
      <c r="B16" s="32"/>
      <c r="C16" s="15" t="s">
        <v>9</v>
      </c>
      <c r="D16" s="16">
        <v>2</v>
      </c>
      <c r="E16" s="16"/>
      <c r="F16" s="16"/>
      <c r="G16" s="16"/>
      <c r="H16" s="16"/>
      <c r="I16" s="16"/>
      <c r="J16" s="15" t="s">
        <v>9</v>
      </c>
      <c r="K16" s="16">
        <v>2</v>
      </c>
      <c r="L16" s="17"/>
      <c r="M16" s="17"/>
      <c r="N16" s="34"/>
      <c r="O16" s="15" t="s">
        <v>9</v>
      </c>
      <c r="P16" s="16">
        <v>2</v>
      </c>
      <c r="Q16" s="17"/>
      <c r="R16" s="16"/>
      <c r="S16" s="18"/>
    </row>
    <row r="17" spans="2:24" ht="21" customHeight="1" x14ac:dyDescent="0.35">
      <c r="B17" s="31" t="s">
        <v>7</v>
      </c>
      <c r="C17" s="11" t="s">
        <v>8</v>
      </c>
      <c r="D17" s="12">
        <v>8</v>
      </c>
      <c r="E17" s="12"/>
      <c r="F17" s="12"/>
      <c r="G17" s="12"/>
      <c r="H17" s="12" t="s">
        <v>12</v>
      </c>
      <c r="I17" s="12"/>
      <c r="J17" s="11" t="s">
        <v>8</v>
      </c>
      <c r="K17" s="12">
        <v>8</v>
      </c>
      <c r="L17" s="13"/>
      <c r="M17" s="13"/>
      <c r="N17" s="33" t="s">
        <v>14</v>
      </c>
      <c r="O17" s="11" t="s">
        <v>8</v>
      </c>
      <c r="P17" s="12">
        <v>8</v>
      </c>
      <c r="Q17" s="13"/>
      <c r="R17" s="12"/>
      <c r="S17" s="14"/>
    </row>
    <row r="18" spans="2:24" ht="21" customHeight="1" x14ac:dyDescent="0.35">
      <c r="B18" s="32"/>
      <c r="C18" s="15" t="s">
        <v>9</v>
      </c>
      <c r="D18" s="16">
        <v>1</v>
      </c>
      <c r="E18" s="16"/>
      <c r="F18" s="16"/>
      <c r="G18" s="16"/>
      <c r="H18" s="16"/>
      <c r="I18" s="16"/>
      <c r="J18" s="15" t="s">
        <v>9</v>
      </c>
      <c r="K18" s="16">
        <v>1</v>
      </c>
      <c r="L18" s="17"/>
      <c r="M18" s="17"/>
      <c r="N18" s="34"/>
      <c r="O18" s="15" t="s">
        <v>9</v>
      </c>
      <c r="P18" s="16">
        <v>1</v>
      </c>
      <c r="Q18" s="17"/>
      <c r="R18" s="16"/>
      <c r="S18" s="18"/>
    </row>
    <row r="19" spans="2:24" ht="17" customHeight="1" x14ac:dyDescent="0.4">
      <c r="B19" s="75" t="s">
        <v>158</v>
      </c>
      <c r="C19" s="76"/>
      <c r="D19" s="76" t="s">
        <v>160</v>
      </c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7"/>
    </row>
    <row r="20" spans="2:24" ht="80.400000000000006" customHeight="1" x14ac:dyDescent="0.35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41" t="s">
        <v>131</v>
      </c>
      <c r="L20" s="47" t="s">
        <v>123</v>
      </c>
      <c r="M20" s="40" t="s">
        <v>134</v>
      </c>
      <c r="N20" s="41" t="s">
        <v>24</v>
      </c>
      <c r="O20" s="41" t="s">
        <v>130</v>
      </c>
      <c r="P20" s="40" t="s">
        <v>159</v>
      </c>
      <c r="Q20" s="40" t="s">
        <v>121</v>
      </c>
      <c r="R20" s="40" t="s">
        <v>4</v>
      </c>
      <c r="S20" s="41" t="s">
        <v>137</v>
      </c>
      <c r="U20" s="40" t="s">
        <v>109</v>
      </c>
      <c r="V20" s="41" t="s">
        <v>87</v>
      </c>
      <c r="W20" s="41" t="s">
        <v>128</v>
      </c>
      <c r="X20" s="41" t="s">
        <v>62</v>
      </c>
    </row>
    <row r="21" spans="2:24" ht="38" customHeight="1" x14ac:dyDescent="0.35">
      <c r="B21" s="4"/>
      <c r="C21" s="8" t="str">
        <f>+Datos!R2</f>
        <v>Ciclo Minero 10,0 x 7,2 m
Galería Inyección Principal</v>
      </c>
      <c r="D21" s="8" t="s">
        <v>110</v>
      </c>
      <c r="E21" s="4" t="s">
        <v>6</v>
      </c>
      <c r="F21" s="4" t="s">
        <v>166</v>
      </c>
      <c r="G21" s="4" t="s">
        <v>85</v>
      </c>
      <c r="H21" s="6">
        <v>0.40625</v>
      </c>
      <c r="I21" s="6">
        <v>0.51041666666666663</v>
      </c>
      <c r="J21" s="36">
        <f>I21-H21</f>
        <v>0.10416666666666663</v>
      </c>
      <c r="K21" s="7">
        <v>0</v>
      </c>
      <c r="L21" s="65"/>
      <c r="M21" s="66">
        <v>0</v>
      </c>
      <c r="N21" s="37">
        <v>0</v>
      </c>
      <c r="O21" s="37"/>
      <c r="P21" s="4"/>
      <c r="Q21" s="6"/>
      <c r="R21" s="6"/>
      <c r="S21" s="36">
        <f>+MOD(R21-Q21,1)</f>
        <v>0</v>
      </c>
      <c r="U21" s="45" t="str">
        <f>+IFERROR(VLOOKUP(D21,Datos!$R$24:$T$40,3,FALSE), "0")</f>
        <v>0</v>
      </c>
      <c r="V21" s="67" t="str">
        <f>IF(OR(D21="Perforación de Fortificación", D21="Perforación de Avance", D21="Perforación Desquinche"), K21*M21, "")</f>
        <v/>
      </c>
      <c r="W21" s="67" t="str">
        <f>IF(D21="Extracción de Marina Disparo",K21,"")</f>
        <v/>
      </c>
      <c r="X21" s="67" t="str">
        <f>IF(OR(D21="Shotcrete", D21="Pre Shotcrete"), K21, "")</f>
        <v/>
      </c>
    </row>
    <row r="22" spans="2:24" ht="38" customHeight="1" x14ac:dyDescent="0.35">
      <c r="B22" s="4"/>
      <c r="C22" s="8" t="str">
        <f>+C21</f>
        <v>Ciclo Minero 10,0 x 7,2 m
Galería Inyección Principal</v>
      </c>
      <c r="D22" s="8" t="s">
        <v>104</v>
      </c>
      <c r="E22" s="4"/>
      <c r="F22" s="4" t="s">
        <v>30</v>
      </c>
      <c r="G22" s="4" t="s">
        <v>71</v>
      </c>
      <c r="H22" s="6">
        <v>0.52083333333333337</v>
      </c>
      <c r="I22" s="6">
        <v>0.58333333333333337</v>
      </c>
      <c r="J22" s="36">
        <f>I22-H22</f>
        <v>6.25E-2</v>
      </c>
      <c r="K22" s="7">
        <f>50*3.5</f>
        <v>175</v>
      </c>
      <c r="L22" s="65" t="s">
        <v>127</v>
      </c>
      <c r="M22" s="66">
        <v>0</v>
      </c>
      <c r="N22" s="37">
        <v>0.85</v>
      </c>
      <c r="O22" s="37"/>
      <c r="P22" s="4" t="s">
        <v>161</v>
      </c>
      <c r="Q22" s="6">
        <v>0.58333333333333337</v>
      </c>
      <c r="R22" s="4"/>
      <c r="S22" s="36">
        <f t="shared" ref="S22:S26" si="0">+MOD(R22-Q22,1)</f>
        <v>0.41666666666666663</v>
      </c>
      <c r="U22" s="45">
        <f>+IFERROR(VLOOKUP(D22,Datos!$R$24:$T$40,3,FALSE), "0")</f>
        <v>0.17399804496578691</v>
      </c>
      <c r="V22" s="67" t="str">
        <f t="shared" ref="V22:V26" si="1">IF(OR(D22="Perforación de Fortificación", D22="Perforación de Avance", D22="Perforación Desquinche"), K22*M22, "")</f>
        <v/>
      </c>
      <c r="W22" s="67">
        <f t="shared" ref="W22:W26" si="2">IF(D22="Extracción de Marina Disparo",K22,"")</f>
        <v>175</v>
      </c>
      <c r="X22" s="67" t="str">
        <f t="shared" ref="X22:X26" si="3">IF(OR(D22="Shotcrete", D22="Pre Shotcrete"), K22, "")</f>
        <v/>
      </c>
    </row>
    <row r="23" spans="2:24" ht="38" customHeight="1" x14ac:dyDescent="0.35">
      <c r="B23" s="4"/>
      <c r="C23" s="8" t="str">
        <f t="shared" ref="C23:C26" si="4">+C22</f>
        <v>Ciclo Minero 10,0 x 7,2 m
Galería Inyección Principal</v>
      </c>
      <c r="D23" s="8" t="s">
        <v>173</v>
      </c>
      <c r="E23" s="4"/>
      <c r="F23" s="4"/>
      <c r="G23" s="4"/>
      <c r="H23" s="6">
        <v>0.625</v>
      </c>
      <c r="I23" s="6">
        <v>0.67361111111111116</v>
      </c>
      <c r="J23" s="36">
        <f>I23-H23</f>
        <v>4.861111111111116E-2</v>
      </c>
      <c r="K23" s="7">
        <v>0</v>
      </c>
      <c r="L23" s="65"/>
      <c r="M23" s="66">
        <v>0</v>
      </c>
      <c r="N23" s="37">
        <v>1</v>
      </c>
      <c r="O23" s="37"/>
      <c r="P23" s="4"/>
      <c r="Q23" s="4"/>
      <c r="R23" s="4"/>
      <c r="S23" s="36">
        <f t="shared" si="0"/>
        <v>0</v>
      </c>
      <c r="U23" s="45">
        <f>+IFERROR(VLOOKUP(D23,Datos!$R$24:$T$40,3,FALSE), "0")</f>
        <v>4.1055718475073312E-2</v>
      </c>
      <c r="V23" s="67" t="str">
        <f t="shared" si="1"/>
        <v/>
      </c>
      <c r="W23" s="67" t="str">
        <f t="shared" si="2"/>
        <v/>
      </c>
      <c r="X23" s="67" t="str">
        <f t="shared" si="3"/>
        <v/>
      </c>
    </row>
    <row r="24" spans="2:24" ht="38" customHeight="1" x14ac:dyDescent="0.35">
      <c r="B24" s="4"/>
      <c r="C24" s="8" t="str">
        <f t="shared" si="4"/>
        <v>Ciclo Minero 10,0 x 7,2 m
Galería Inyección Principal</v>
      </c>
      <c r="D24" s="8" t="s">
        <v>57</v>
      </c>
      <c r="E24" s="4"/>
      <c r="F24" s="4" t="s">
        <v>39</v>
      </c>
      <c r="G24" s="4" t="s">
        <v>65</v>
      </c>
      <c r="H24" s="6">
        <v>0.67361111111111116</v>
      </c>
      <c r="I24" s="6">
        <v>0.76736111111111116</v>
      </c>
      <c r="J24" s="36">
        <f>I24-H24</f>
        <v>9.375E-2</v>
      </c>
      <c r="K24" s="7">
        <v>13</v>
      </c>
      <c r="L24" s="65" t="s">
        <v>125</v>
      </c>
      <c r="M24" s="66">
        <v>3</v>
      </c>
      <c r="N24" s="37">
        <v>1</v>
      </c>
      <c r="O24" s="37"/>
      <c r="P24" s="4"/>
      <c r="Q24" s="4"/>
      <c r="R24" s="4"/>
      <c r="S24" s="36">
        <f t="shared" si="0"/>
        <v>0</v>
      </c>
      <c r="U24" s="45">
        <f>+IFERROR(VLOOKUP(D24,Datos!$R$24:$T$40,3,FALSE), "0")</f>
        <v>7.42913000977517E-2</v>
      </c>
      <c r="V24" s="67">
        <f t="shared" si="1"/>
        <v>39</v>
      </c>
      <c r="W24" s="67" t="str">
        <f t="shared" si="2"/>
        <v/>
      </c>
      <c r="X24" s="67" t="str">
        <f t="shared" si="3"/>
        <v/>
      </c>
    </row>
    <row r="25" spans="2:24" ht="38" customHeight="1" x14ac:dyDescent="0.35">
      <c r="B25" s="4"/>
      <c r="C25" s="8" t="str">
        <f t="shared" si="4"/>
        <v>Ciclo Minero 10,0 x 7,2 m
Galería Inyección Principal</v>
      </c>
      <c r="D25" s="8"/>
      <c r="E25" s="4"/>
      <c r="F25" s="4"/>
      <c r="G25" s="4"/>
      <c r="H25" s="6"/>
      <c r="I25" s="6"/>
      <c r="J25" s="36">
        <f>SUM(J21:J24)</f>
        <v>0.30902777777777779</v>
      </c>
      <c r="K25" s="7"/>
      <c r="L25" s="65"/>
      <c r="M25" s="66"/>
      <c r="N25" s="37"/>
      <c r="O25" s="37"/>
      <c r="P25" s="4"/>
      <c r="Q25" s="4"/>
      <c r="R25" s="4"/>
      <c r="S25" s="36">
        <f t="shared" si="0"/>
        <v>0</v>
      </c>
      <c r="U25" s="45" t="str">
        <f>+IFERROR(VLOOKUP(D25,Datos!$R$24:$T$40,3,FALSE), "0")</f>
        <v>0</v>
      </c>
      <c r="V25" s="67" t="str">
        <f t="shared" si="1"/>
        <v/>
      </c>
      <c r="W25" s="67" t="str">
        <f t="shared" si="2"/>
        <v/>
      </c>
      <c r="X25" s="67" t="str">
        <f t="shared" si="3"/>
        <v/>
      </c>
    </row>
    <row r="26" spans="2:24" ht="38" customHeight="1" x14ac:dyDescent="0.35">
      <c r="B26" s="4"/>
      <c r="C26" s="8" t="str">
        <f t="shared" si="4"/>
        <v>Ciclo Minero 10,0 x 7,2 m
Galería Inyección Principal</v>
      </c>
      <c r="D26" s="8"/>
      <c r="E26" s="4"/>
      <c r="F26" s="4"/>
      <c r="G26" s="4"/>
      <c r="H26" s="6"/>
      <c r="I26" s="6"/>
      <c r="J26" s="36"/>
      <c r="K26" s="7"/>
      <c r="L26" s="65"/>
      <c r="M26" s="66"/>
      <c r="N26" s="37"/>
      <c r="O26" s="37"/>
      <c r="P26" s="4"/>
      <c r="Q26" s="4"/>
      <c r="R26" s="4"/>
      <c r="S26" s="36">
        <f t="shared" si="0"/>
        <v>0</v>
      </c>
      <c r="U26" s="45" t="str">
        <f>+IFERROR(VLOOKUP(D26,Datos!$R$24:$T$40,3,FALSE), "0")</f>
        <v>0</v>
      </c>
      <c r="V26" s="67" t="str">
        <f t="shared" si="1"/>
        <v/>
      </c>
      <c r="W26" s="67" t="str">
        <f t="shared" si="2"/>
        <v/>
      </c>
      <c r="X26" s="67" t="str">
        <f t="shared" si="3"/>
        <v/>
      </c>
    </row>
    <row r="27" spans="2:24" x14ac:dyDescent="0.35">
      <c r="B27" s="63"/>
      <c r="C27" s="63"/>
      <c r="D27" s="63" t="s">
        <v>177</v>
      </c>
      <c r="E27" s="63"/>
      <c r="F27" s="63"/>
      <c r="G27" s="63"/>
      <c r="H27" s="63"/>
      <c r="I27" s="63"/>
      <c r="J27" s="64"/>
      <c r="K27" s="41"/>
      <c r="L27" s="47"/>
      <c r="M27" s="40"/>
      <c r="N27" s="41"/>
      <c r="O27" s="41"/>
      <c r="P27" s="40"/>
      <c r="Q27" s="40"/>
      <c r="R27" s="40"/>
      <c r="S27" s="41"/>
      <c r="U27" s="40"/>
      <c r="V27" s="41"/>
      <c r="W27" s="41"/>
      <c r="X27" s="41"/>
    </row>
    <row r="28" spans="2:24" ht="72.5" x14ac:dyDescent="0.35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41" t="s">
        <v>131</v>
      </c>
      <c r="L28" s="47" t="s">
        <v>123</v>
      </c>
      <c r="M28" s="40" t="s">
        <v>134</v>
      </c>
      <c r="N28" s="41" t="s">
        <v>24</v>
      </c>
      <c r="O28" s="41" t="s">
        <v>130</v>
      </c>
      <c r="P28" s="40" t="s">
        <v>132</v>
      </c>
      <c r="Q28" s="40" t="s">
        <v>121</v>
      </c>
      <c r="R28" s="40" t="s">
        <v>4</v>
      </c>
      <c r="S28" s="41" t="s">
        <v>137</v>
      </c>
      <c r="U28" s="40" t="s">
        <v>109</v>
      </c>
      <c r="V28" s="41" t="s">
        <v>87</v>
      </c>
      <c r="W28" s="41" t="s">
        <v>128</v>
      </c>
      <c r="X28" s="41" t="s">
        <v>128</v>
      </c>
    </row>
    <row r="29" spans="2:24" ht="38" customHeight="1" x14ac:dyDescent="0.35">
      <c r="B29" s="4"/>
      <c r="C29" s="8" t="str">
        <f>+Datos!R23</f>
        <v>Ciclo Minero 5,2 x 5,6 m
Galería Acceso Portal de Servicio</v>
      </c>
      <c r="D29" s="8" t="s">
        <v>110</v>
      </c>
      <c r="E29" s="4"/>
      <c r="F29" s="4"/>
      <c r="G29" s="4"/>
      <c r="H29" s="6">
        <v>0.375</v>
      </c>
      <c r="I29" s="6">
        <v>0.41666666666666669</v>
      </c>
      <c r="J29" s="36">
        <f>I29-H29</f>
        <v>4.1666666666666685E-2</v>
      </c>
      <c r="K29" s="7"/>
      <c r="L29" s="65"/>
      <c r="M29" s="66" t="s">
        <v>162</v>
      </c>
      <c r="N29" s="37"/>
      <c r="O29" s="37"/>
      <c r="P29" s="4"/>
      <c r="Q29" s="6"/>
      <c r="R29" s="6"/>
      <c r="S29" s="36">
        <f>+MOD(R29-Q29,1)</f>
        <v>0</v>
      </c>
      <c r="U29" s="45" t="str">
        <f>+IFERROR(VLOOKUP(D29,Datos!$R$3:$T$20,3,FALSE), "0")</f>
        <v>0</v>
      </c>
      <c r="V29" s="67" t="str">
        <f t="shared" ref="V29:V33" si="5">IF(OR(D29="Perforación de Fortificación", D29="Perforación de Avance", D29="Perforación Desquinche"), K29*M29, "")</f>
        <v/>
      </c>
      <c r="W29" s="67" t="str">
        <f>IF(D29="Extracción de Marina Disparo",K29,"")</f>
        <v/>
      </c>
      <c r="X29" s="67" t="str">
        <f t="shared" ref="X29:X33" si="6">IF(OR(D29="Shotcrete", D29="Pre Shotcrete"), K29, "")</f>
        <v/>
      </c>
    </row>
    <row r="30" spans="2:24" ht="38" customHeight="1" x14ac:dyDescent="0.35">
      <c r="B30" s="4"/>
      <c r="C30" s="8" t="str">
        <f>+C29</f>
        <v>Ciclo Minero 5,2 x 5,6 m
Galería Acceso Portal de Servicio</v>
      </c>
      <c r="D30" s="8" t="s">
        <v>57</v>
      </c>
      <c r="E30" s="4"/>
      <c r="F30" s="4" t="s">
        <v>165</v>
      </c>
      <c r="G30" s="4" t="s">
        <v>65</v>
      </c>
      <c r="H30" s="6">
        <v>0.41666666666666669</v>
      </c>
      <c r="I30" s="6">
        <v>0.51388888888888884</v>
      </c>
      <c r="J30" s="36">
        <f>I30-H30</f>
        <v>9.7222222222222154E-2</v>
      </c>
      <c r="K30" s="7">
        <v>53</v>
      </c>
      <c r="L30" s="65" t="s">
        <v>125</v>
      </c>
      <c r="M30" s="66">
        <v>4</v>
      </c>
      <c r="N30" s="37">
        <v>1</v>
      </c>
      <c r="O30" s="37"/>
      <c r="P30" s="4"/>
      <c r="Q30" s="4"/>
      <c r="R30" s="4"/>
      <c r="S30" s="36">
        <f t="shared" ref="S30:S33" si="7">+MOD(R30-Q30,1)</f>
        <v>0</v>
      </c>
      <c r="U30" s="45">
        <f>+IFERROR(VLOOKUP(D30,Datos!$R$3:$T$20,3,FALSE), "0")</f>
        <v>8.6138049058756397E-2</v>
      </c>
      <c r="V30" s="67">
        <f t="shared" si="5"/>
        <v>212</v>
      </c>
      <c r="W30" s="67" t="str">
        <f t="shared" ref="W30:W33" si="8">IF(D30="Extracción de Marina Disparo",K30,"")</f>
        <v/>
      </c>
      <c r="X30" s="67" t="str">
        <f t="shared" si="6"/>
        <v/>
      </c>
    </row>
    <row r="31" spans="2:24" ht="38" customHeight="1" x14ac:dyDescent="0.35">
      <c r="B31" s="4"/>
      <c r="C31" s="8" t="str">
        <f t="shared" ref="C31:C32" si="9">+C30</f>
        <v>Ciclo Minero 5,2 x 5,6 m
Galería Acceso Portal de Servicio</v>
      </c>
      <c r="D31" s="8" t="s">
        <v>54</v>
      </c>
      <c r="E31" s="4"/>
      <c r="F31" s="4" t="s">
        <v>165</v>
      </c>
      <c r="G31" s="4" t="s">
        <v>85</v>
      </c>
      <c r="H31" s="6">
        <v>0.51388888888888884</v>
      </c>
      <c r="I31" s="6">
        <v>0.55555555555555558</v>
      </c>
      <c r="J31" s="36">
        <f>I31-H31</f>
        <v>4.1666666666666741E-2</v>
      </c>
      <c r="K31" s="7">
        <v>8</v>
      </c>
      <c r="L31" s="65" t="s">
        <v>129</v>
      </c>
      <c r="M31" s="66">
        <v>4</v>
      </c>
      <c r="N31" s="37">
        <f>+K31/$K$30</f>
        <v>0.15094339622641509</v>
      </c>
      <c r="O31" s="37"/>
      <c r="P31" s="4"/>
      <c r="Q31" s="4"/>
      <c r="R31" s="4"/>
      <c r="S31" s="36">
        <f t="shared" si="7"/>
        <v>0</v>
      </c>
      <c r="U31" s="45">
        <f>+IFERROR(VLOOKUP(D31,Datos!$R$3:$T$20,3,FALSE), "0")</f>
        <v>0.17798060467769536</v>
      </c>
      <c r="V31" s="67" t="str">
        <f t="shared" si="5"/>
        <v/>
      </c>
      <c r="W31" s="67" t="str">
        <f t="shared" si="8"/>
        <v/>
      </c>
      <c r="X31" s="67" t="str">
        <f t="shared" si="6"/>
        <v/>
      </c>
    </row>
    <row r="32" spans="2:24" ht="38" customHeight="1" x14ac:dyDescent="0.35">
      <c r="B32" s="4"/>
      <c r="C32" s="8" t="str">
        <f t="shared" si="9"/>
        <v>Ciclo Minero 5,2 x 5,6 m
Galería Acceso Portal de Servicio</v>
      </c>
      <c r="D32" s="8" t="s">
        <v>54</v>
      </c>
      <c r="E32" s="4"/>
      <c r="F32" s="4" t="s">
        <v>165</v>
      </c>
      <c r="G32" s="4" t="s">
        <v>85</v>
      </c>
      <c r="H32" s="6">
        <v>0.63888888888888884</v>
      </c>
      <c r="I32" s="6">
        <v>0.76388888888888884</v>
      </c>
      <c r="J32" s="36">
        <f>I32-H32</f>
        <v>0.125</v>
      </c>
      <c r="K32" s="7">
        <v>20</v>
      </c>
      <c r="L32" s="65" t="s">
        <v>129</v>
      </c>
      <c r="M32" s="66">
        <v>4</v>
      </c>
      <c r="N32" s="37">
        <f>+K32/$K$30</f>
        <v>0.37735849056603776</v>
      </c>
      <c r="O32" s="37"/>
      <c r="P32" s="4"/>
      <c r="Q32" s="4"/>
      <c r="R32" s="4"/>
      <c r="S32" s="36">
        <f t="shared" si="7"/>
        <v>0</v>
      </c>
      <c r="U32" s="45">
        <f>+IFERROR(VLOOKUP(D32,Datos!$R$3:$T$20,3,FALSE), "0")</f>
        <v>0.17798060467769536</v>
      </c>
      <c r="V32" s="67" t="str">
        <f t="shared" si="5"/>
        <v/>
      </c>
      <c r="W32" s="67" t="str">
        <f t="shared" si="8"/>
        <v/>
      </c>
      <c r="X32" s="67" t="str">
        <f t="shared" si="6"/>
        <v/>
      </c>
    </row>
    <row r="33" spans="2:24" ht="38" customHeight="1" x14ac:dyDescent="0.35">
      <c r="B33" s="4"/>
      <c r="C33" s="8" t="e">
        <f>+#REF!</f>
        <v>#REF!</v>
      </c>
      <c r="D33" s="8"/>
      <c r="E33" s="4"/>
      <c r="F33" s="4"/>
      <c r="G33" s="4"/>
      <c r="H33" s="6"/>
      <c r="I33" s="6"/>
      <c r="J33" s="36">
        <f>SUM(J29:J32)</f>
        <v>0.30555555555555558</v>
      </c>
      <c r="K33" s="7"/>
      <c r="L33" s="65"/>
      <c r="M33" s="66"/>
      <c r="N33" s="37"/>
      <c r="O33" s="37"/>
      <c r="P33" s="4"/>
      <c r="Q33" s="4"/>
      <c r="R33" s="4"/>
      <c r="S33" s="36">
        <f t="shared" si="7"/>
        <v>0</v>
      </c>
      <c r="U33" s="45" t="str">
        <f>+IFERROR(VLOOKUP(D33,Datos!$R$3:$T$20,3,FALSE), "0")</f>
        <v>0</v>
      </c>
      <c r="V33" s="67" t="str">
        <f t="shared" si="5"/>
        <v/>
      </c>
      <c r="W33" s="67" t="str">
        <f t="shared" si="8"/>
        <v/>
      </c>
      <c r="X33" s="67" t="str">
        <f t="shared" si="6"/>
        <v/>
      </c>
    </row>
    <row r="34" spans="2:24" ht="15.65" customHeight="1" thickBot="1" x14ac:dyDescent="0.4">
      <c r="B34" s="5"/>
      <c r="C34" s="5"/>
      <c r="D34" s="5"/>
      <c r="E34" s="5"/>
      <c r="F34" s="5"/>
      <c r="G34" s="5"/>
      <c r="H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2:24" ht="30" customHeight="1" thickBot="1" x14ac:dyDescent="0.4">
      <c r="B35" s="69"/>
      <c r="C35" s="404" t="s">
        <v>64</v>
      </c>
      <c r="D35" s="404"/>
      <c r="E35" s="70"/>
      <c r="F35" s="70"/>
      <c r="G35" s="424">
        <v>3700</v>
      </c>
      <c r="H35" s="425"/>
      <c r="I35" s="424">
        <v>3500</v>
      </c>
      <c r="J35" s="425"/>
      <c r="K35" s="5"/>
      <c r="L35" s="5"/>
      <c r="M35" s="5"/>
      <c r="N35" s="5"/>
      <c r="O35" s="5"/>
      <c r="P35" s="5"/>
      <c r="Q35" s="5"/>
      <c r="R35" s="5"/>
      <c r="S35" s="5"/>
    </row>
    <row r="36" spans="2:24" ht="30" customHeight="1" x14ac:dyDescent="0.35">
      <c r="C36" s="54" t="s">
        <v>48</v>
      </c>
      <c r="D36" s="55">
        <f>SUMPRODUCT((LEFT(F21:F33, 1)="C") / (COUNTIF(F21:F33, F21:F33 &amp; "") + (F21:F33="")))</f>
        <v>0</v>
      </c>
      <c r="E36" s="406" t="s">
        <v>90</v>
      </c>
      <c r="F36" s="406"/>
      <c r="G36" s="82">
        <v>0.27083333333333331</v>
      </c>
      <c r="H36" s="83" t="s">
        <v>23</v>
      </c>
      <c r="I36" s="82">
        <v>0.27083333333333331</v>
      </c>
      <c r="J36" s="83" t="s">
        <v>23</v>
      </c>
      <c r="K36" s="68"/>
      <c r="L36" s="5"/>
      <c r="M36" s="5"/>
      <c r="N36" s="5"/>
      <c r="O36" s="5"/>
      <c r="P36" s="5"/>
      <c r="Q36" s="5"/>
      <c r="R36" s="5"/>
      <c r="S36" s="5"/>
    </row>
    <row r="37" spans="2:24" ht="29" x14ac:dyDescent="0.35">
      <c r="C37" s="54" t="s">
        <v>49</v>
      </c>
      <c r="D37" s="55">
        <f>SUMPRODUCT((LEFT(F21:F33, 1)="O") / (COUNTIF(F21:F33, F21:F33 &amp; "") + (F21:F33="")))</f>
        <v>2</v>
      </c>
      <c r="E37" s="405" t="s">
        <v>46</v>
      </c>
      <c r="F37" s="405"/>
      <c r="G37" s="84" t="e">
        <f>+SUM(SUMIF($F$21:$F$33, "C*", $J$21:$J$33))/SUMPRODUCT((LEFT(F21:F33, 1)="C") / (COUNTIF(F21:F33, F21:F33 &amp; "") + (F21:F33="")))</f>
        <v>#DIV/0!</v>
      </c>
      <c r="H37" s="85" t="e">
        <f>+G37*24/($G$36*24)</f>
        <v>#DIV/0!</v>
      </c>
      <c r="I37" s="84" t="e">
        <f>+SUM(SUMIF($F$21:$F$33, "C*", $J$21:$J$33))/SUMPRODUCT((LEFT(H21:H33, 1)="C") / (COUNTIF(H21:H33, H21:H33 &amp; "") + (H21:H33="")))</f>
        <v>#DIV/0!</v>
      </c>
      <c r="J37" s="85" t="e">
        <f>+I37*24/($G$36*24)</f>
        <v>#DIV/0!</v>
      </c>
      <c r="K37" s="68"/>
      <c r="L37" s="5"/>
      <c r="M37" s="5"/>
      <c r="N37" s="5"/>
      <c r="O37" s="5"/>
      <c r="P37" s="5"/>
      <c r="Q37" s="5"/>
      <c r="R37" s="5"/>
      <c r="S37" s="5"/>
    </row>
    <row r="38" spans="2:24" ht="41.4" customHeight="1" x14ac:dyDescent="0.35">
      <c r="E38" s="405" t="s">
        <v>47</v>
      </c>
      <c r="F38" s="405"/>
      <c r="G38" s="84">
        <f>+SUM(SUMIF($F$21:$F$33, "o*", $J$21:$J$33))</f>
        <v>0.15625</v>
      </c>
      <c r="H38" s="85">
        <f>+G38*24/($G$36*24)</f>
        <v>0.57692307692307687</v>
      </c>
      <c r="I38" s="84">
        <f>+SUM(SUMIF($F$21:$F$33, "o*", $J$21:$J$33))</f>
        <v>0.15625</v>
      </c>
      <c r="J38" s="85">
        <f>+I38*24/($G$36*24)</f>
        <v>0.57692307692307687</v>
      </c>
      <c r="K38" s="68"/>
      <c r="L38" s="5"/>
      <c r="M38" s="5"/>
      <c r="N38" s="5"/>
      <c r="O38" s="5"/>
      <c r="P38" s="5"/>
      <c r="Q38" s="5"/>
      <c r="R38" s="5"/>
      <c r="S38" s="5"/>
    </row>
    <row r="39" spans="2:24" ht="43.25" customHeight="1" thickBot="1" x14ac:dyDescent="0.4">
      <c r="E39" s="405" t="s">
        <v>94</v>
      </c>
      <c r="F39" s="405"/>
      <c r="G39" s="86"/>
      <c r="H39" s="87">
        <f>+AVERAGE(N21:N33)</f>
        <v>0.62547169811320757</v>
      </c>
      <c r="I39" s="86"/>
      <c r="J39" s="87" t="e">
        <f>+AVERAGE(P21:P33)</f>
        <v>#DIV/0!</v>
      </c>
    </row>
    <row r="40" spans="2:24" ht="43.25" customHeight="1" x14ac:dyDescent="0.35">
      <c r="E40" s="79"/>
      <c r="F40" s="79"/>
      <c r="G40" s="80"/>
      <c r="H40" s="81"/>
      <c r="I40" s="78"/>
      <c r="J40" s="78"/>
      <c r="K40" s="78"/>
      <c r="L40" s="78"/>
    </row>
    <row r="41" spans="2:24" ht="43.25" customHeight="1" x14ac:dyDescent="0.35">
      <c r="E41" s="54"/>
      <c r="F41" s="54"/>
      <c r="G41" s="57"/>
      <c r="H41" s="39"/>
      <c r="I41" s="407" t="s">
        <v>153</v>
      </c>
      <c r="J41" s="407"/>
      <c r="K41" s="407" t="s">
        <v>152</v>
      </c>
      <c r="L41" s="407"/>
      <c r="M41" s="407" t="s">
        <v>176</v>
      </c>
      <c r="N41" s="407"/>
      <c r="O41" s="345" t="s">
        <v>484</v>
      </c>
      <c r="P41" s="345" t="s">
        <v>485</v>
      </c>
    </row>
    <row r="42" spans="2:24" x14ac:dyDescent="0.35">
      <c r="E42" s="421" t="s">
        <v>174</v>
      </c>
      <c r="F42" s="421"/>
      <c r="G42" s="421"/>
      <c r="H42" s="46">
        <f>SUMPRODUCT(N21:N27 * U21:U27 * (N21:N27&lt;&gt;"") * (U21:U27&lt;&gt;""))</f>
        <v>0.26324535679374389</v>
      </c>
      <c r="I42" s="403">
        <f>+H42*$K$42*$M$42</f>
        <v>5.9419741935483863</v>
      </c>
      <c r="J42" s="403"/>
      <c r="K42" s="422">
        <v>6.6</v>
      </c>
      <c r="L42" s="422"/>
      <c r="M42">
        <v>3.42</v>
      </c>
      <c r="O42" s="344">
        <v>56.080975609756102</v>
      </c>
      <c r="P42" s="344">
        <f>+O42*M42*H42</f>
        <v>50.48965300336171</v>
      </c>
    </row>
    <row r="43" spans="2:24" ht="14.4" customHeight="1" x14ac:dyDescent="0.35">
      <c r="E43" s="421" t="s">
        <v>175</v>
      </c>
      <c r="F43" s="421"/>
      <c r="G43" s="421"/>
      <c r="H43" s="46">
        <f>+SUMPRODUCT(N29:N33 * U29:U33 * (N29:N33&lt;&gt;"") * (U29:U33&lt;&gt;""))</f>
        <v>0.18016553832244453</v>
      </c>
      <c r="I43" s="403">
        <f>+H43*$K$43*$M$43</f>
        <v>7.2707604645405723</v>
      </c>
      <c r="J43" s="403"/>
      <c r="K43" s="423">
        <v>11.8</v>
      </c>
      <c r="L43" s="423"/>
      <c r="M43">
        <v>3.42</v>
      </c>
      <c r="O43" s="344">
        <v>118.52055555555555</v>
      </c>
      <c r="P43" s="344">
        <f>+O43*M43*H43</f>
        <v>73.028353353281148</v>
      </c>
    </row>
    <row r="44" spans="2:24" ht="15" thickBot="1" x14ac:dyDescent="0.4">
      <c r="P44" s="352">
        <f>SUM(P41:P43)</f>
        <v>123.51800635664286</v>
      </c>
    </row>
    <row r="45" spans="2:24" ht="30" customHeight="1" thickBot="1" x14ac:dyDescent="0.4">
      <c r="B45" s="69"/>
      <c r="C45" s="404" t="s">
        <v>88</v>
      </c>
      <c r="D45" s="404"/>
      <c r="E45" s="70"/>
      <c r="F45" s="70"/>
      <c r="G45" s="70"/>
      <c r="H45" s="70"/>
      <c r="I45" s="71"/>
      <c r="J45" s="72"/>
    </row>
    <row r="46" spans="2:24" ht="38" customHeight="1" x14ac:dyDescent="0.35">
      <c r="C46" s="58" t="s">
        <v>89</v>
      </c>
      <c r="D46" s="55">
        <f>SUMPRODUCT((LEFT(G21:G33, 5)="Jumbo") / (COUNTIF(G21:G33, G21:G33 &amp; "") + (G21:G33="")))</f>
        <v>1</v>
      </c>
      <c r="E46" s="406" t="s">
        <v>90</v>
      </c>
      <c r="F46" s="406"/>
      <c r="G46" s="56">
        <v>0.20833333333333334</v>
      </c>
      <c r="I46" s="3"/>
      <c r="J46" s="5"/>
      <c r="P46" s="321"/>
    </row>
    <row r="47" spans="2:24" ht="38" customHeight="1" x14ac:dyDescent="0.35">
      <c r="E47" s="406" t="s">
        <v>93</v>
      </c>
      <c r="F47" s="406"/>
      <c r="G47" s="55">
        <f>15000/(60)</f>
        <v>250</v>
      </c>
      <c r="H47" s="60" t="s">
        <v>143</v>
      </c>
      <c r="I47" s="3"/>
      <c r="J47" s="5"/>
    </row>
    <row r="48" spans="2:24" ht="38" customHeight="1" x14ac:dyDescent="0.35">
      <c r="E48" s="405" t="s">
        <v>91</v>
      </c>
      <c r="F48" s="405"/>
      <c r="G48" s="57">
        <f>+SUM(SUMIF($G$21:$G$33, "Jumbo*", $J$21:$J$33))/SUMPRODUCT((LEFT(G21:G33, 5)="Jumbo") / (COUNTIF(G21:G33, G21:G33 &amp; "") + (G21:G33="")))</f>
        <v>0.19097222222222215</v>
      </c>
      <c r="H48" s="39">
        <f>+G48*24/($G$46*24)</f>
        <v>0.91666666666666641</v>
      </c>
      <c r="I48" s="5"/>
      <c r="J48" s="5"/>
    </row>
    <row r="49" spans="2:10" ht="38" customHeight="1" x14ac:dyDescent="0.35">
      <c r="E49" s="405" t="s">
        <v>92</v>
      </c>
      <c r="F49" s="405"/>
      <c r="G49" s="59">
        <f>+SUM(V21:V33)/D46</f>
        <v>251</v>
      </c>
      <c r="H49" s="39">
        <f>+G49/G47</f>
        <v>1.004</v>
      </c>
      <c r="I49" s="5"/>
      <c r="J49" s="5"/>
    </row>
    <row r="50" spans="2:10" ht="38" customHeight="1" x14ac:dyDescent="0.35">
      <c r="G50" s="38" t="s">
        <v>87</v>
      </c>
      <c r="H50" s="3" t="s">
        <v>23</v>
      </c>
    </row>
    <row r="51" spans="2:10" ht="20" customHeight="1" x14ac:dyDescent="0.35">
      <c r="F51" s="53" t="s">
        <v>65</v>
      </c>
      <c r="G51" s="59">
        <f t="shared" ref="G51:G56" si="10" xml:space="preserve"> SUMIF($G$21:$G$33, +F51,$V$21:$V$33)</f>
        <v>251</v>
      </c>
      <c r="H51" s="39">
        <f t="shared" ref="H51:H56" si="11">+G51/$G$47</f>
        <v>1.004</v>
      </c>
    </row>
    <row r="52" spans="2:10" ht="20" customHeight="1" x14ac:dyDescent="0.35">
      <c r="F52" s="53" t="s">
        <v>66</v>
      </c>
      <c r="G52" s="59">
        <f t="shared" si="10"/>
        <v>0</v>
      </c>
      <c r="H52" s="39">
        <f t="shared" si="11"/>
        <v>0</v>
      </c>
    </row>
    <row r="53" spans="2:10" ht="20" customHeight="1" x14ac:dyDescent="0.35">
      <c r="F53" s="53" t="s">
        <v>67</v>
      </c>
      <c r="G53" s="59">
        <f t="shared" si="10"/>
        <v>0</v>
      </c>
      <c r="H53" s="39">
        <f t="shared" si="11"/>
        <v>0</v>
      </c>
    </row>
    <row r="54" spans="2:10" ht="20" customHeight="1" x14ac:dyDescent="0.35">
      <c r="F54" s="53" t="s">
        <v>68</v>
      </c>
      <c r="G54" s="59">
        <f t="shared" si="10"/>
        <v>0</v>
      </c>
      <c r="H54" s="39">
        <f t="shared" si="11"/>
        <v>0</v>
      </c>
    </row>
    <row r="55" spans="2:10" ht="20" customHeight="1" x14ac:dyDescent="0.35">
      <c r="F55" s="53" t="s">
        <v>69</v>
      </c>
      <c r="G55" s="59">
        <f t="shared" si="10"/>
        <v>0</v>
      </c>
      <c r="H55" s="39">
        <f t="shared" si="11"/>
        <v>0</v>
      </c>
    </row>
    <row r="56" spans="2:10" ht="20" customHeight="1" x14ac:dyDescent="0.35">
      <c r="F56" s="53" t="s">
        <v>70</v>
      </c>
      <c r="G56" s="59">
        <f t="shared" si="10"/>
        <v>0</v>
      </c>
      <c r="H56" s="39">
        <f t="shared" si="11"/>
        <v>0</v>
      </c>
    </row>
    <row r="57" spans="2:10" ht="20" customHeight="1" x14ac:dyDescent="0.35">
      <c r="F57" s="53" t="s">
        <v>146</v>
      </c>
      <c r="G57" s="59">
        <f>+SUM(G51:G56)</f>
        <v>251</v>
      </c>
      <c r="H57" s="39">
        <f>+G57/($G$47*$D$46)</f>
        <v>1.004</v>
      </c>
    </row>
    <row r="58" spans="2:10" ht="15" thickBot="1" x14ac:dyDescent="0.4"/>
    <row r="59" spans="2:10" ht="30" customHeight="1" thickBot="1" x14ac:dyDescent="0.4">
      <c r="B59" s="69"/>
      <c r="C59" s="404" t="s">
        <v>107</v>
      </c>
      <c r="D59" s="404"/>
      <c r="E59" s="70"/>
      <c r="F59" s="70"/>
      <c r="G59" s="70"/>
      <c r="H59" s="70"/>
      <c r="I59" s="71"/>
      <c r="J59" s="72"/>
    </row>
    <row r="60" spans="2:10" ht="38" customHeight="1" x14ac:dyDescent="0.35">
      <c r="C60" s="53" t="s">
        <v>95</v>
      </c>
      <c r="D60" s="55">
        <f>SUMPRODUCT((LEFT(G21:G33, 5)="Scoop") / (COUNTIF(G21:G33, G21:G33 &amp; "") + (G21:G33="")))</f>
        <v>1</v>
      </c>
      <c r="E60" s="406" t="s">
        <v>90</v>
      </c>
      <c r="F60" s="406"/>
      <c r="G60" s="56">
        <v>0.20833333333333334</v>
      </c>
      <c r="I60" s="3"/>
      <c r="J60" s="5"/>
    </row>
    <row r="61" spans="2:10" ht="38" customHeight="1" x14ac:dyDescent="0.35">
      <c r="C61" s="53" t="s">
        <v>145</v>
      </c>
      <c r="D61" s="55">
        <v>4.9000000000000004</v>
      </c>
      <c r="E61" s="406" t="s">
        <v>97</v>
      </c>
      <c r="F61" s="406"/>
      <c r="G61" s="55">
        <f>15000/(60)</f>
        <v>250</v>
      </c>
      <c r="H61" s="60" t="s">
        <v>23</v>
      </c>
      <c r="I61" s="3"/>
      <c r="J61" s="5"/>
    </row>
    <row r="62" spans="2:10" ht="38" customHeight="1" x14ac:dyDescent="0.35">
      <c r="E62" s="405" t="s">
        <v>98</v>
      </c>
      <c r="F62" s="405"/>
      <c r="G62" s="57">
        <f>+SUM(SUMIF($G$21:$G$33, "Scoop*", $J$21:$J$33))/SUMPRODUCT((LEFT(G21:G33, 5)="Scoop") / (COUNTIF(G21:G33, G21:G33 &amp; "") + (G21:G33="")))</f>
        <v>6.25E-2</v>
      </c>
      <c r="H62" s="39">
        <f>+G62*24/($G$60*24)</f>
        <v>0.3</v>
      </c>
      <c r="I62" s="5"/>
      <c r="J62" s="5"/>
    </row>
    <row r="63" spans="2:10" ht="38" customHeight="1" x14ac:dyDescent="0.35">
      <c r="E63" s="405" t="s">
        <v>99</v>
      </c>
      <c r="F63" s="405"/>
      <c r="G63" s="59">
        <f>+SUM(W21:W33)*D61/D60</f>
        <v>857.50000000000011</v>
      </c>
      <c r="H63" s="39">
        <f>+G63/G61</f>
        <v>3.4300000000000006</v>
      </c>
      <c r="I63" s="5"/>
      <c r="J63" s="5"/>
    </row>
    <row r="64" spans="2:10" ht="38" customHeight="1" x14ac:dyDescent="0.35">
      <c r="G64" s="38" t="s">
        <v>96</v>
      </c>
      <c r="H64" s="3" t="s">
        <v>23</v>
      </c>
    </row>
    <row r="65" spans="2:10" ht="20" customHeight="1" x14ac:dyDescent="0.35">
      <c r="F65" s="53" t="s">
        <v>71</v>
      </c>
      <c r="G65" s="59">
        <f t="shared" ref="G65:G70" si="12" xml:space="preserve"> SUMIF($G$21:$G$33, +F65,$W$21:$W$33)*$D$61</f>
        <v>857.50000000000011</v>
      </c>
      <c r="H65" s="39">
        <f>+G65/$G$61</f>
        <v>3.4300000000000006</v>
      </c>
    </row>
    <row r="66" spans="2:10" ht="20" customHeight="1" x14ac:dyDescent="0.35">
      <c r="F66" s="53" t="s">
        <v>72</v>
      </c>
      <c r="G66" s="59">
        <f t="shared" si="12"/>
        <v>0</v>
      </c>
      <c r="H66" s="39">
        <f t="shared" ref="H66:H71" si="13">+G66/$G$61</f>
        <v>0</v>
      </c>
    </row>
    <row r="67" spans="2:10" ht="20" customHeight="1" x14ac:dyDescent="0.35">
      <c r="F67" s="53" t="s">
        <v>73</v>
      </c>
      <c r="G67" s="59">
        <f t="shared" si="12"/>
        <v>0</v>
      </c>
      <c r="H67" s="39">
        <f t="shared" si="13"/>
        <v>0</v>
      </c>
    </row>
    <row r="68" spans="2:10" ht="20" customHeight="1" x14ac:dyDescent="0.35">
      <c r="F68" s="53" t="s">
        <v>74</v>
      </c>
      <c r="G68" s="59">
        <f t="shared" si="12"/>
        <v>0</v>
      </c>
      <c r="H68" s="39">
        <f t="shared" si="13"/>
        <v>0</v>
      </c>
    </row>
    <row r="69" spans="2:10" ht="20" customHeight="1" x14ac:dyDescent="0.35">
      <c r="F69" s="53" t="s">
        <v>75</v>
      </c>
      <c r="G69" s="59">
        <f t="shared" si="12"/>
        <v>0</v>
      </c>
      <c r="H69" s="39">
        <f t="shared" si="13"/>
        <v>0</v>
      </c>
    </row>
    <row r="70" spans="2:10" ht="20" customHeight="1" x14ac:dyDescent="0.35">
      <c r="F70" s="53" t="s">
        <v>76</v>
      </c>
      <c r="G70" s="59">
        <f t="shared" si="12"/>
        <v>0</v>
      </c>
      <c r="H70" s="39">
        <f t="shared" si="13"/>
        <v>0</v>
      </c>
    </row>
    <row r="71" spans="2:10" ht="20" customHeight="1" x14ac:dyDescent="0.35">
      <c r="F71" s="53" t="s">
        <v>146</v>
      </c>
      <c r="G71" s="59">
        <f>+SUM(G65:G70)</f>
        <v>857.50000000000011</v>
      </c>
      <c r="H71" s="39">
        <f t="shared" si="13"/>
        <v>3.4300000000000006</v>
      </c>
    </row>
    <row r="72" spans="2:10" ht="15" thickBot="1" x14ac:dyDescent="0.4"/>
    <row r="73" spans="2:10" ht="30" customHeight="1" thickBot="1" x14ac:dyDescent="0.4">
      <c r="B73" s="69"/>
      <c r="C73" s="404" t="s">
        <v>149</v>
      </c>
      <c r="D73" s="404"/>
      <c r="E73" s="70"/>
      <c r="F73" s="70"/>
      <c r="G73" s="70"/>
      <c r="H73" s="70"/>
      <c r="I73" s="71"/>
      <c r="J73" s="72"/>
    </row>
    <row r="74" spans="2:10" ht="25.25" customHeight="1" x14ac:dyDescent="0.35">
      <c r="C74" s="53" t="s">
        <v>150</v>
      </c>
      <c r="D74" s="55">
        <f>SUMPRODUCT((LEFT(G21:G33, 8)="Roboshot") / (COUNTIF(G21:G33, G21:G33 &amp; "") + (G21:G33="")))</f>
        <v>0</v>
      </c>
      <c r="E74" s="406" t="s">
        <v>90</v>
      </c>
      <c r="F74" s="406"/>
      <c r="G74" s="56">
        <v>0.20833333333333334</v>
      </c>
    </row>
    <row r="75" spans="2:10" x14ac:dyDescent="0.35">
      <c r="C75" s="53"/>
      <c r="D75" s="55"/>
      <c r="E75" s="406" t="s">
        <v>97</v>
      </c>
      <c r="F75" s="406"/>
      <c r="G75" s="55">
        <v>12</v>
      </c>
      <c r="H75" s="60" t="s">
        <v>23</v>
      </c>
    </row>
    <row r="77" spans="2:10" x14ac:dyDescent="0.35">
      <c r="G77" s="38" t="s">
        <v>96</v>
      </c>
      <c r="H77" s="3" t="s">
        <v>23</v>
      </c>
    </row>
    <row r="78" spans="2:10" x14ac:dyDescent="0.35">
      <c r="F78" s="53" t="s">
        <v>77</v>
      </c>
      <c r="G78" s="59">
        <f xml:space="preserve"> SUMIF($G$21:$G$33, +F78,$X$21:$X$33)</f>
        <v>0</v>
      </c>
      <c r="H78" s="39">
        <f>+G78/$G$75</f>
        <v>0</v>
      </c>
    </row>
    <row r="79" spans="2:10" x14ac:dyDescent="0.35">
      <c r="F79" s="53" t="s">
        <v>78</v>
      </c>
      <c r="G79" s="59">
        <f xml:space="preserve"> SUMIF($G$21:$G$33, +F79,$X$21:$X$33)</f>
        <v>0</v>
      </c>
      <c r="H79" s="39">
        <f t="shared" ref="H79:H80" si="14">+G79/$G$75</f>
        <v>0</v>
      </c>
    </row>
    <row r="80" spans="2:10" x14ac:dyDescent="0.35">
      <c r="F80" s="53" t="s">
        <v>79</v>
      </c>
      <c r="G80" s="59">
        <f xml:space="preserve"> SUMIF($G$21:$G$33, +F80,$X$21:$X$33)</f>
        <v>0</v>
      </c>
      <c r="H80" s="39">
        <f t="shared" si="14"/>
        <v>0</v>
      </c>
    </row>
    <row r="81" spans="6:8" x14ac:dyDescent="0.35">
      <c r="F81" s="53" t="s">
        <v>146</v>
      </c>
      <c r="G81" s="59">
        <f>+SUM(G78:G80)</f>
        <v>0</v>
      </c>
      <c r="H81" s="39">
        <f>+G81/$G$75</f>
        <v>0</v>
      </c>
    </row>
  </sheetData>
  <mergeCells count="40">
    <mergeCell ref="K41:L41"/>
    <mergeCell ref="M41:N41"/>
    <mergeCell ref="C35:D35"/>
    <mergeCell ref="B1:D4"/>
    <mergeCell ref="E2:R2"/>
    <mergeCell ref="E3:R4"/>
    <mergeCell ref="K6:L6"/>
    <mergeCell ref="K7:L7"/>
    <mergeCell ref="K8:L8"/>
    <mergeCell ref="G35:H35"/>
    <mergeCell ref="I35:J35"/>
    <mergeCell ref="K9:L9"/>
    <mergeCell ref="K10:L10"/>
    <mergeCell ref="K11:L11"/>
    <mergeCell ref="K12:L12"/>
    <mergeCell ref="B14:S14"/>
    <mergeCell ref="E36:F36"/>
    <mergeCell ref="E37:F37"/>
    <mergeCell ref="E38:F38"/>
    <mergeCell ref="E39:F39"/>
    <mergeCell ref="I41:J41"/>
    <mergeCell ref="C45:D45"/>
    <mergeCell ref="E42:G42"/>
    <mergeCell ref="I42:J42"/>
    <mergeCell ref="K42:L42"/>
    <mergeCell ref="E43:G43"/>
    <mergeCell ref="I43:J43"/>
    <mergeCell ref="K43:L43"/>
    <mergeCell ref="C73:D73"/>
    <mergeCell ref="E74:F74"/>
    <mergeCell ref="E75:F75"/>
    <mergeCell ref="E46:F46"/>
    <mergeCell ref="E47:F47"/>
    <mergeCell ref="E48:F48"/>
    <mergeCell ref="E49:F49"/>
    <mergeCell ref="E61:F61"/>
    <mergeCell ref="E62:F62"/>
    <mergeCell ref="E63:F63"/>
    <mergeCell ref="C59:D59"/>
    <mergeCell ref="E60:F60"/>
  </mergeCells>
  <conditionalFormatting sqref="H37:H41">
    <cfRule type="cellIs" dxfId="1256" priority="13" operator="greaterThan">
      <formula>0.9</formula>
    </cfRule>
    <cfRule type="cellIs" dxfId="1255" priority="14" operator="between">
      <formula>0.81</formula>
      <formula>0.89</formula>
    </cfRule>
    <cfRule type="cellIs" dxfId="1254" priority="15" operator="lessThan">
      <formula>0.8</formula>
    </cfRule>
  </conditionalFormatting>
  <conditionalFormatting sqref="H48:H49">
    <cfRule type="cellIs" dxfId="1253" priority="16" operator="greaterThan">
      <formula>0.9</formula>
    </cfRule>
    <cfRule type="cellIs" dxfId="1252" priority="17" operator="between">
      <formula>0.81</formula>
      <formula>0.89</formula>
    </cfRule>
    <cfRule type="cellIs" dxfId="1251" priority="18" operator="lessThan">
      <formula>0.8</formula>
    </cfRule>
  </conditionalFormatting>
  <conditionalFormatting sqref="H51:H57">
    <cfRule type="cellIs" dxfId="1250" priority="19" operator="greaterThan">
      <formula>0.9</formula>
    </cfRule>
    <cfRule type="cellIs" dxfId="1249" priority="20" operator="between">
      <formula>0.81</formula>
      <formula>0.89</formula>
    </cfRule>
    <cfRule type="cellIs" dxfId="1248" priority="21" operator="lessThan">
      <formula>0.8</formula>
    </cfRule>
  </conditionalFormatting>
  <conditionalFormatting sqref="H62:H63">
    <cfRule type="cellIs" dxfId="1247" priority="7" operator="greaterThan">
      <formula>0.9</formula>
    </cfRule>
    <cfRule type="cellIs" dxfId="1246" priority="8" operator="between">
      <formula>0.81</formula>
      <formula>0.89</formula>
    </cfRule>
    <cfRule type="cellIs" dxfId="1245" priority="9" operator="lessThan">
      <formula>0.8</formula>
    </cfRule>
  </conditionalFormatting>
  <conditionalFormatting sqref="H65:H71">
    <cfRule type="cellIs" dxfId="1244" priority="10" operator="greaterThan">
      <formula>0.9</formula>
    </cfRule>
    <cfRule type="cellIs" dxfId="1243" priority="11" operator="between">
      <formula>0.81</formula>
      <formula>0.89</formula>
    </cfRule>
    <cfRule type="cellIs" dxfId="1242" priority="12" operator="lessThan">
      <formula>0.8</formula>
    </cfRule>
  </conditionalFormatting>
  <conditionalFormatting sqref="H78:H81">
    <cfRule type="cellIs" dxfId="1241" priority="4" operator="greaterThan">
      <formula>0.9</formula>
    </cfRule>
    <cfRule type="cellIs" dxfId="1240" priority="5" operator="between">
      <formula>0.81</formula>
      <formula>0.89</formula>
    </cfRule>
    <cfRule type="cellIs" dxfId="1239" priority="6" operator="lessThan">
      <formula>0.8</formula>
    </cfRule>
  </conditionalFormatting>
  <conditionalFormatting sqref="J37:J39">
    <cfRule type="cellIs" dxfId="1238" priority="1" operator="greaterThan">
      <formula>0.9</formula>
    </cfRule>
    <cfRule type="cellIs" dxfId="1237" priority="2" operator="between">
      <formula>0.81</formula>
      <formula>0.89</formula>
    </cfRule>
    <cfRule type="cellIs" dxfId="1236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42A3844-A7BE-4D3D-97D2-C707BA478F8E}">
          <x14:formula1>
            <xm:f>Datos!$F$3:$F$41</xm:f>
          </x14:formula1>
          <xm:sqref>G21:G26 G29:G33</xm:sqref>
        </x14:dataValidation>
        <x14:dataValidation type="list" allowBlank="1" showInputMessage="1" showErrorMessage="1" xr:uid="{9A81565B-A912-4D9F-956B-578E558191AE}">
          <x14:formula1>
            <xm:f>Datos!$W$3:$W$12</xm:f>
          </x14:formula1>
          <xm:sqref>L21:L26 L29:L33</xm:sqref>
        </x14:dataValidation>
        <x14:dataValidation type="list" allowBlank="1" showInputMessage="1" showErrorMessage="1" xr:uid="{61199A11-6562-4D9F-85F1-AB4D6AE8BAC3}">
          <x14:formula1>
            <xm:f>Datos!$D$3:$D$27</xm:f>
          </x14:formula1>
          <xm:sqref>F21:F26 F29:F33</xm:sqref>
        </x14:dataValidation>
        <x14:dataValidation type="list" allowBlank="1" showInputMessage="1" showErrorMessage="1" xr:uid="{04DBBB8F-C5E1-470B-96FA-89ED6EA618DD}">
          <x14:formula1>
            <xm:f>Datos!$B$3:$B$8</xm:f>
          </x14:formula1>
          <xm:sqref>E21:E26 E29:E33</xm:sqref>
        </x14:dataValidation>
        <x14:dataValidation type="list" allowBlank="1" showInputMessage="1" showErrorMessage="1" xr:uid="{C6F98282-A6CD-4974-81A9-D601A33597F8}">
          <x14:formula1>
            <xm:f>Datos!$H$3:$H$26</xm:f>
          </x14:formula1>
          <xm:sqref>D21:D26 D29:D33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BB8CB-3D86-4AB5-A3B1-085ED4B7C503}">
  <sheetPr codeName="Hoja3">
    <pageSetUpPr fitToPage="1"/>
  </sheetPr>
  <dimension ref="B1:X78"/>
  <sheetViews>
    <sheetView showGridLines="0" topLeftCell="A19" zoomScale="70" zoomScaleNormal="70" zoomScaleSheetLayoutView="50" workbookViewId="0">
      <pane xSplit="5" ySplit="2" topLeftCell="F30" activePane="bottomRight" state="frozen"/>
      <selection activeCell="P47" sqref="P47"/>
      <selection pane="topRight" activeCell="P47" sqref="P47"/>
      <selection pane="bottomLeft" activeCell="P47" sqref="P47"/>
      <selection pane="bottomRight" activeCell="P47" sqref="P47"/>
    </sheetView>
  </sheetViews>
  <sheetFormatPr baseColWidth="10" defaultRowHeight="14.5" x14ac:dyDescent="0.35"/>
  <cols>
    <col min="1" max="1" width="2.81640625" customWidth="1"/>
    <col min="2" max="2" width="11.6328125" hidden="1" customWidth="1"/>
    <col min="3" max="3" width="23.1796875" hidden="1" customWidth="1"/>
    <col min="4" max="4" width="24.08984375" customWidth="1"/>
    <col min="5" max="5" width="15.08984375" hidden="1" customWidth="1"/>
    <col min="6" max="7" width="15.81640625" customWidth="1"/>
    <col min="8" max="9" width="11.81640625" customWidth="1"/>
    <col min="10" max="10" width="17" customWidth="1"/>
    <col min="11" max="11" width="19.1796875" customWidth="1"/>
    <col min="12" max="12" width="12.36328125" customWidth="1"/>
    <col min="13" max="13" width="24.6328125" customWidth="1"/>
    <col min="14" max="14" width="19.6328125" customWidth="1"/>
    <col min="15" max="15" width="55.90625" customWidth="1"/>
    <col min="16" max="16" width="46.36328125" customWidth="1"/>
    <col min="17" max="17" width="12.6328125" customWidth="1"/>
    <col min="18" max="18" width="12.08984375" customWidth="1"/>
    <col min="19" max="19" width="19.54296875" customWidth="1"/>
    <col min="20" max="20" width="4" customWidth="1"/>
    <col min="21" max="21" width="20.54296875" customWidth="1"/>
    <col min="22" max="24" width="11.54296875" customWidth="1"/>
  </cols>
  <sheetData>
    <row r="1" spans="2:19" ht="24.5" customHeight="1" x14ac:dyDescent="0.35">
      <c r="B1" s="409"/>
      <c r="C1" s="410"/>
      <c r="D1" s="411"/>
      <c r="S1" s="1" t="s">
        <v>10</v>
      </c>
    </row>
    <row r="2" spans="2:19" ht="24.5" customHeight="1" x14ac:dyDescent="0.35">
      <c r="B2" s="412"/>
      <c r="C2" s="413"/>
      <c r="D2" s="414"/>
      <c r="E2" s="415" t="s">
        <v>0</v>
      </c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2"/>
    </row>
    <row r="3" spans="2:19" x14ac:dyDescent="0.35">
      <c r="B3" s="412"/>
      <c r="C3" s="413"/>
      <c r="D3" s="414"/>
      <c r="E3" s="415" t="s">
        <v>17</v>
      </c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6"/>
      <c r="S3" s="2" t="s">
        <v>1</v>
      </c>
    </row>
    <row r="4" spans="2:19" x14ac:dyDescent="0.35">
      <c r="B4" s="412"/>
      <c r="C4" s="413"/>
      <c r="D4" s="414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6"/>
      <c r="S4" s="19" t="s">
        <v>16</v>
      </c>
    </row>
    <row r="5" spans="2:19" ht="17" customHeight="1" x14ac:dyDescent="0.4">
      <c r="B5" s="20"/>
      <c r="C5" s="21"/>
      <c r="D5" s="22"/>
      <c r="E5" s="23"/>
      <c r="F5" s="23"/>
      <c r="G5" s="23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4"/>
    </row>
    <row r="6" spans="2:19" ht="17" customHeight="1" x14ac:dyDescent="0.4">
      <c r="B6" s="25"/>
      <c r="C6" s="61" t="s">
        <v>18</v>
      </c>
      <c r="D6" s="52"/>
      <c r="E6" s="10"/>
      <c r="F6" s="10"/>
      <c r="G6" s="10"/>
      <c r="H6" s="9"/>
      <c r="I6" s="9"/>
      <c r="J6" s="52"/>
      <c r="K6" s="420" t="s">
        <v>119</v>
      </c>
      <c r="L6" s="420"/>
      <c r="M6" s="48" t="e">
        <f>+G33</f>
        <v>#DIV/0!</v>
      </c>
      <c r="O6" s="9"/>
      <c r="P6" s="9"/>
      <c r="Q6" s="9"/>
      <c r="R6" s="9"/>
      <c r="S6" s="26"/>
    </row>
    <row r="7" spans="2:19" ht="17" customHeight="1" x14ac:dyDescent="0.4">
      <c r="B7" s="25"/>
      <c r="C7" s="52" t="s">
        <v>19</v>
      </c>
      <c r="D7" s="52"/>
      <c r="E7" s="10"/>
      <c r="F7" s="10"/>
      <c r="G7" s="10"/>
      <c r="H7" s="9"/>
      <c r="I7" s="9"/>
      <c r="J7" s="52"/>
      <c r="K7" s="420" t="s">
        <v>117</v>
      </c>
      <c r="L7" s="420"/>
      <c r="M7" s="49">
        <f>+H35</f>
        <v>1</v>
      </c>
      <c r="O7" s="9"/>
      <c r="P7" s="9"/>
      <c r="Q7" s="9"/>
      <c r="R7" s="9"/>
      <c r="S7" s="26"/>
    </row>
    <row r="8" spans="2:19" ht="17" customHeight="1" x14ac:dyDescent="0.4">
      <c r="B8" s="25"/>
      <c r="C8" s="52" t="s">
        <v>20</v>
      </c>
      <c r="D8" s="52"/>
      <c r="E8" s="10"/>
      <c r="F8" s="10"/>
      <c r="G8" s="10"/>
      <c r="H8" s="9"/>
      <c r="I8" s="9"/>
      <c r="J8" s="52" t="s">
        <v>115</v>
      </c>
      <c r="K8" s="420" t="s">
        <v>118</v>
      </c>
      <c r="L8" s="420"/>
      <c r="M8" s="50">
        <f>+G54</f>
        <v>60</v>
      </c>
      <c r="O8" s="9"/>
      <c r="P8" s="9"/>
      <c r="Q8" s="9"/>
      <c r="R8" s="9"/>
      <c r="S8" s="26"/>
    </row>
    <row r="9" spans="2:19" ht="17" customHeight="1" x14ac:dyDescent="0.4">
      <c r="B9" s="25"/>
      <c r="C9" s="52" t="s">
        <v>21</v>
      </c>
      <c r="D9" s="52"/>
      <c r="E9" s="10"/>
      <c r="F9" s="10"/>
      <c r="G9" s="10"/>
      <c r="H9" s="9"/>
      <c r="I9" s="9"/>
      <c r="J9" s="52" t="s">
        <v>116</v>
      </c>
      <c r="K9" s="420" t="s">
        <v>147</v>
      </c>
      <c r="L9" s="420"/>
      <c r="M9" s="50">
        <f>+G68</f>
        <v>205.8</v>
      </c>
      <c r="O9" s="9"/>
      <c r="P9" s="9"/>
      <c r="Q9" s="9"/>
      <c r="R9" s="9"/>
      <c r="S9" s="26"/>
    </row>
    <row r="10" spans="2:19" ht="17" customHeight="1" x14ac:dyDescent="0.4">
      <c r="B10" s="25"/>
      <c r="C10" s="52"/>
      <c r="D10" s="52"/>
      <c r="E10" s="10"/>
      <c r="F10" s="10"/>
      <c r="G10" s="10"/>
      <c r="H10" s="9"/>
      <c r="I10" s="9"/>
      <c r="J10" s="52"/>
      <c r="K10" s="420" t="s">
        <v>148</v>
      </c>
      <c r="L10" s="420"/>
      <c r="M10" s="50">
        <f>+G78</f>
        <v>0</v>
      </c>
      <c r="O10" s="9"/>
      <c r="P10" s="9"/>
      <c r="Q10" s="9"/>
      <c r="R10" s="9"/>
      <c r="S10" s="26"/>
    </row>
    <row r="11" spans="2:19" ht="17" customHeight="1" x14ac:dyDescent="0.4">
      <c r="B11" s="25"/>
      <c r="C11" s="61"/>
      <c r="D11" s="52"/>
      <c r="E11" s="10"/>
      <c r="F11" s="10"/>
      <c r="G11" s="10"/>
      <c r="H11" s="9"/>
      <c r="I11" s="9"/>
      <c r="J11" s="52"/>
      <c r="K11" s="420" t="s">
        <v>120</v>
      </c>
      <c r="L11" s="420"/>
      <c r="M11" s="51" t="e">
        <f>+#REF!</f>
        <v>#REF!</v>
      </c>
      <c r="O11" s="9"/>
      <c r="P11" s="9"/>
      <c r="Q11" s="9"/>
      <c r="R11" s="9"/>
      <c r="S11" s="26"/>
    </row>
    <row r="12" spans="2:19" ht="17" customHeight="1" x14ac:dyDescent="0.4">
      <c r="B12" s="25"/>
      <c r="C12" s="52"/>
      <c r="D12" s="52"/>
      <c r="E12" s="10"/>
      <c r="F12" s="10"/>
      <c r="G12" s="10"/>
      <c r="H12" s="9"/>
      <c r="I12" s="9"/>
      <c r="J12" s="52"/>
      <c r="K12" s="420" t="s">
        <v>133</v>
      </c>
      <c r="L12" s="420"/>
      <c r="M12" s="62">
        <f>+SUM(D15:D16,D17:D18,K15:K16,K17:K18,P15:P16,P17:P18)</f>
        <v>63</v>
      </c>
      <c r="O12" s="9"/>
      <c r="P12" s="9"/>
      <c r="Q12" s="9"/>
      <c r="R12" s="9"/>
      <c r="S12" s="26"/>
    </row>
    <row r="13" spans="2:19" ht="17" customHeight="1" x14ac:dyDescent="0.4">
      <c r="B13" s="27"/>
      <c r="C13" s="17"/>
      <c r="D13" s="28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30"/>
    </row>
    <row r="14" spans="2:19" ht="17" customHeight="1" x14ac:dyDescent="0.4">
      <c r="B14" s="417" t="s">
        <v>15</v>
      </c>
      <c r="C14" s="418"/>
      <c r="D14" s="418"/>
      <c r="E14" s="418"/>
      <c r="F14" s="418"/>
      <c r="G14" s="418"/>
      <c r="H14" s="418"/>
      <c r="I14" s="418"/>
      <c r="J14" s="418"/>
      <c r="K14" s="418"/>
      <c r="L14" s="418"/>
      <c r="M14" s="418"/>
      <c r="N14" s="418"/>
      <c r="O14" s="418"/>
      <c r="P14" s="418"/>
      <c r="Q14" s="418"/>
      <c r="R14" s="418"/>
      <c r="S14" s="419"/>
    </row>
    <row r="15" spans="2:19" ht="21" customHeight="1" x14ac:dyDescent="0.35">
      <c r="B15" s="31" t="s">
        <v>6</v>
      </c>
      <c r="C15" s="11" t="s">
        <v>8</v>
      </c>
      <c r="D15" s="12">
        <v>10</v>
      </c>
      <c r="E15" s="12"/>
      <c r="F15" s="12"/>
      <c r="G15" s="12"/>
      <c r="H15" s="12" t="s">
        <v>11</v>
      </c>
      <c r="I15" s="12"/>
      <c r="J15" s="11" t="s">
        <v>8</v>
      </c>
      <c r="K15" s="12">
        <v>10</v>
      </c>
      <c r="L15" s="13"/>
      <c r="M15" s="13"/>
      <c r="N15" s="33" t="s">
        <v>13</v>
      </c>
      <c r="O15" s="11" t="s">
        <v>8</v>
      </c>
      <c r="P15" s="12">
        <v>10</v>
      </c>
      <c r="Q15" s="13"/>
      <c r="R15" s="12"/>
      <c r="S15" s="14"/>
    </row>
    <row r="16" spans="2:19" ht="21" customHeight="1" x14ac:dyDescent="0.35">
      <c r="B16" s="32"/>
      <c r="C16" s="15" t="s">
        <v>9</v>
      </c>
      <c r="D16" s="16">
        <v>2</v>
      </c>
      <c r="E16" s="16"/>
      <c r="F16" s="16"/>
      <c r="G16" s="16"/>
      <c r="H16" s="16"/>
      <c r="I16" s="16"/>
      <c r="J16" s="15" t="s">
        <v>9</v>
      </c>
      <c r="K16" s="16">
        <v>2</v>
      </c>
      <c r="L16" s="17"/>
      <c r="M16" s="17"/>
      <c r="N16" s="34"/>
      <c r="O16" s="15" t="s">
        <v>9</v>
      </c>
      <c r="P16" s="16">
        <v>2</v>
      </c>
      <c r="Q16" s="17"/>
      <c r="R16" s="16"/>
      <c r="S16" s="18"/>
    </row>
    <row r="17" spans="2:24" ht="21" customHeight="1" x14ac:dyDescent="0.35">
      <c r="B17" s="31" t="s">
        <v>7</v>
      </c>
      <c r="C17" s="11" t="s">
        <v>8</v>
      </c>
      <c r="D17" s="12">
        <v>8</v>
      </c>
      <c r="E17" s="12"/>
      <c r="F17" s="12"/>
      <c r="G17" s="12"/>
      <c r="H17" s="12" t="s">
        <v>12</v>
      </c>
      <c r="I17" s="12"/>
      <c r="J17" s="11" t="s">
        <v>8</v>
      </c>
      <c r="K17" s="12">
        <v>8</v>
      </c>
      <c r="L17" s="13"/>
      <c r="M17" s="13"/>
      <c r="N17" s="33" t="s">
        <v>14</v>
      </c>
      <c r="O17" s="11" t="s">
        <v>8</v>
      </c>
      <c r="P17" s="12">
        <v>8</v>
      </c>
      <c r="Q17" s="13"/>
      <c r="R17" s="12"/>
      <c r="S17" s="14"/>
    </row>
    <row r="18" spans="2:24" ht="21" customHeight="1" x14ac:dyDescent="0.35">
      <c r="B18" s="32"/>
      <c r="C18" s="15" t="s">
        <v>9</v>
      </c>
      <c r="D18" s="16">
        <v>1</v>
      </c>
      <c r="E18" s="16"/>
      <c r="F18" s="16"/>
      <c r="G18" s="16"/>
      <c r="H18" s="16"/>
      <c r="I18" s="16"/>
      <c r="J18" s="15" t="s">
        <v>9</v>
      </c>
      <c r="K18" s="16">
        <v>1</v>
      </c>
      <c r="L18" s="17"/>
      <c r="M18" s="17"/>
      <c r="N18" s="34"/>
      <c r="O18" s="15" t="s">
        <v>9</v>
      </c>
      <c r="P18" s="16">
        <v>1</v>
      </c>
      <c r="Q18" s="17"/>
      <c r="R18" s="16"/>
      <c r="S18" s="18"/>
    </row>
    <row r="19" spans="2:24" ht="17" customHeight="1" x14ac:dyDescent="0.4">
      <c r="B19" s="75" t="s">
        <v>158</v>
      </c>
      <c r="C19" s="76"/>
      <c r="D19" s="63" t="s">
        <v>177</v>
      </c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7"/>
    </row>
    <row r="20" spans="2:24" ht="72.5" x14ac:dyDescent="0.35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41" t="s">
        <v>131</v>
      </c>
      <c r="L20" s="47" t="s">
        <v>123</v>
      </c>
      <c r="M20" s="40" t="s">
        <v>134</v>
      </c>
      <c r="N20" s="41" t="s">
        <v>24</v>
      </c>
      <c r="O20" s="41" t="s">
        <v>130</v>
      </c>
      <c r="P20" s="40" t="s">
        <v>159</v>
      </c>
      <c r="Q20" s="40" t="s">
        <v>121</v>
      </c>
      <c r="R20" s="40" t="s">
        <v>4</v>
      </c>
      <c r="S20" s="41" t="s">
        <v>137</v>
      </c>
      <c r="U20" s="40" t="s">
        <v>109</v>
      </c>
      <c r="V20" s="41" t="s">
        <v>87</v>
      </c>
      <c r="W20" s="41" t="s">
        <v>128</v>
      </c>
      <c r="X20" s="41" t="s">
        <v>62</v>
      </c>
    </row>
    <row r="21" spans="2:24" ht="38" customHeight="1" x14ac:dyDescent="0.35">
      <c r="B21" s="4"/>
      <c r="C21" s="8" t="str">
        <f>+Datos!R2</f>
        <v>Ciclo Minero 10,0 x 7,2 m
Galería Inyección Principal</v>
      </c>
      <c r="D21" s="8" t="s">
        <v>54</v>
      </c>
      <c r="E21" s="4"/>
      <c r="F21" s="4" t="s">
        <v>163</v>
      </c>
      <c r="G21" s="4" t="s">
        <v>85</v>
      </c>
      <c r="H21" s="6">
        <v>0.91666666666666663</v>
      </c>
      <c r="I21" s="6">
        <v>3.125E-2</v>
      </c>
      <c r="J21" s="36">
        <v>0.11458333333333333</v>
      </c>
      <c r="K21" s="7">
        <v>27</v>
      </c>
      <c r="L21" s="65" t="s">
        <v>125</v>
      </c>
      <c r="M21" s="66">
        <v>4</v>
      </c>
      <c r="N21" s="37">
        <v>1</v>
      </c>
      <c r="O21" s="37"/>
      <c r="P21" s="4"/>
      <c r="Q21" s="6"/>
      <c r="R21" s="6"/>
      <c r="S21" s="36">
        <f>+MOD(R21-Q21,1)</f>
        <v>0</v>
      </c>
      <c r="U21" s="45">
        <f>+IFERROR(VLOOKUP(D21,Datos!$R$3:$T$19,3,FALSE), "0")</f>
        <v>0.17798060467769536</v>
      </c>
      <c r="V21" s="67" t="str">
        <f>IF(OR(D21="Perforación de Fortificación", D21="Perforación de Avance", D21="Perforación Desquinche"), K21*M21, "")</f>
        <v/>
      </c>
      <c r="W21" s="67" t="str">
        <f>IF(D21="Extracción de Marina Disparo",K21,"")</f>
        <v/>
      </c>
      <c r="X21" s="67" t="str">
        <f>IF(OR(D21="Shotcrete", D21="Pre Shotcrete"), K21, "")</f>
        <v/>
      </c>
    </row>
    <row r="22" spans="2:24" ht="38" customHeight="1" x14ac:dyDescent="0.35">
      <c r="B22" s="4"/>
      <c r="C22" s="8" t="str">
        <f>+C21</f>
        <v>Ciclo Minero 10,0 x 7,2 m
Galería Inyección Principal</v>
      </c>
      <c r="D22" s="8" t="s">
        <v>52</v>
      </c>
      <c r="E22" s="4"/>
      <c r="F22" s="4" t="s">
        <v>163</v>
      </c>
      <c r="G22" s="4" t="s">
        <v>85</v>
      </c>
      <c r="H22" s="6">
        <v>0.125</v>
      </c>
      <c r="I22" s="6">
        <v>0.25</v>
      </c>
      <c r="J22" s="36">
        <f t="shared" ref="J22" si="0">I22-H22</f>
        <v>0.125</v>
      </c>
      <c r="K22" s="7">
        <v>150</v>
      </c>
      <c r="L22" s="65" t="s">
        <v>126</v>
      </c>
      <c r="M22" s="66">
        <v>0</v>
      </c>
      <c r="N22" s="37">
        <v>1</v>
      </c>
      <c r="O22" s="37"/>
      <c r="P22" s="4"/>
      <c r="Q22" s="6"/>
      <c r="R22" s="4"/>
      <c r="S22" s="36">
        <f t="shared" ref="S22:S23" si="1">+MOD(R22-Q22,1)</f>
        <v>0</v>
      </c>
      <c r="U22" s="45">
        <f>+IFERROR(VLOOKUP(D22,Datos!$R$3:$T$19,3,FALSE), "0")</f>
        <v>6.8454078722190517E-2</v>
      </c>
      <c r="V22" s="67" t="str">
        <f t="shared" ref="V22:V23" si="2">IF(OR(D22="Perforación de Fortificación", D22="Perforación de Avance", D22="Perforación Desquinche"), K22*M22, "")</f>
        <v/>
      </c>
      <c r="W22" s="67" t="str">
        <f t="shared" ref="W22:W23" si="3">IF(D22="Extracción de Marina Disparo",K22,"")</f>
        <v/>
      </c>
      <c r="X22" s="67" t="str">
        <f t="shared" ref="X22:X24" si="4">IF(OR(D22="Shotcrete", D22="Pre Shotcrete"), K22, "")</f>
        <v/>
      </c>
    </row>
    <row r="23" spans="2:24" ht="38" customHeight="1" x14ac:dyDescent="0.35">
      <c r="B23" s="4"/>
      <c r="C23" s="8" t="str">
        <f t="shared" ref="C23:C24" si="5">+C22</f>
        <v>Ciclo Minero 10,0 x 7,2 m
Galería Inyección Principal</v>
      </c>
      <c r="D23" s="8" t="s">
        <v>104</v>
      </c>
      <c r="E23" s="4"/>
      <c r="F23" s="4" t="s">
        <v>163</v>
      </c>
      <c r="G23" s="4" t="s">
        <v>71</v>
      </c>
      <c r="H23" s="6"/>
      <c r="I23" s="6"/>
      <c r="J23" s="36"/>
      <c r="K23" s="7">
        <v>42</v>
      </c>
      <c r="L23" s="65" t="s">
        <v>127</v>
      </c>
      <c r="M23" s="66">
        <v>0</v>
      </c>
      <c r="N23" s="37">
        <v>1</v>
      </c>
      <c r="O23" s="37"/>
      <c r="P23" s="4"/>
      <c r="Q23" s="4"/>
      <c r="R23" s="4"/>
      <c r="S23" s="36">
        <f t="shared" si="1"/>
        <v>0</v>
      </c>
      <c r="U23" s="45">
        <f>+IFERROR(VLOOKUP(D23,Datos!$R$3:$T$19,3,FALSE), "0")</f>
        <v>0.22475755847119222</v>
      </c>
      <c r="V23" s="67" t="str">
        <f t="shared" si="2"/>
        <v/>
      </c>
      <c r="W23" s="67">
        <f t="shared" si="3"/>
        <v>42</v>
      </c>
      <c r="X23" s="67" t="str">
        <f t="shared" si="4"/>
        <v/>
      </c>
    </row>
    <row r="24" spans="2:24" ht="38" customHeight="1" x14ac:dyDescent="0.35">
      <c r="B24" s="4"/>
      <c r="C24" s="8" t="str">
        <f t="shared" si="5"/>
        <v>Ciclo Minero 10,0 x 7,2 m
Galería Inyección Principal</v>
      </c>
      <c r="D24" s="8"/>
      <c r="E24" s="4"/>
      <c r="F24" s="4"/>
      <c r="G24" s="4"/>
      <c r="H24" s="6"/>
      <c r="I24" s="6"/>
      <c r="J24" s="36">
        <f>SUM(J21:J23)</f>
        <v>0.23958333333333331</v>
      </c>
      <c r="K24" s="7"/>
      <c r="L24" s="65"/>
      <c r="M24" s="66"/>
      <c r="N24" s="37"/>
      <c r="O24" s="37"/>
      <c r="P24" s="4"/>
      <c r="Q24" s="4"/>
      <c r="R24" s="4"/>
      <c r="S24" s="36"/>
      <c r="U24" s="45"/>
      <c r="V24" s="67"/>
      <c r="W24" s="67"/>
      <c r="X24" s="67" t="str">
        <f t="shared" si="4"/>
        <v/>
      </c>
    </row>
    <row r="25" spans="2:24" x14ac:dyDescent="0.35">
      <c r="B25" s="63"/>
      <c r="C25" s="63"/>
      <c r="D25" s="63" t="s">
        <v>186</v>
      </c>
      <c r="E25" s="63"/>
      <c r="F25" s="63"/>
      <c r="G25" s="63"/>
      <c r="H25" s="63"/>
      <c r="I25" s="63"/>
      <c r="J25" s="64"/>
      <c r="K25" s="41"/>
      <c r="L25" s="47"/>
      <c r="M25" s="40"/>
      <c r="N25" s="41"/>
      <c r="O25" s="41"/>
      <c r="P25" s="40"/>
      <c r="Q25" s="40"/>
      <c r="R25" s="40"/>
      <c r="S25" s="41"/>
      <c r="U25" s="40"/>
      <c r="V25" s="41"/>
      <c r="W25" s="41"/>
      <c r="X25" s="41"/>
    </row>
    <row r="26" spans="2:24" ht="72.5" x14ac:dyDescent="0.35">
      <c r="B26" s="63" t="s">
        <v>3</v>
      </c>
      <c r="C26" s="63" t="s">
        <v>2</v>
      </c>
      <c r="D26" s="63" t="s">
        <v>5</v>
      </c>
      <c r="E26" s="63" t="s">
        <v>22</v>
      </c>
      <c r="F26" s="63" t="s">
        <v>139</v>
      </c>
      <c r="G26" s="63" t="s">
        <v>29</v>
      </c>
      <c r="H26" s="63" t="s">
        <v>121</v>
      </c>
      <c r="I26" s="63" t="s">
        <v>4</v>
      </c>
      <c r="J26" s="64" t="s">
        <v>122</v>
      </c>
      <c r="K26" s="41" t="s">
        <v>131</v>
      </c>
      <c r="L26" s="47" t="s">
        <v>123</v>
      </c>
      <c r="M26" s="40" t="s">
        <v>134</v>
      </c>
      <c r="N26" s="41" t="s">
        <v>24</v>
      </c>
      <c r="O26" s="41" t="s">
        <v>130</v>
      </c>
      <c r="P26" s="40" t="s">
        <v>132</v>
      </c>
      <c r="Q26" s="40" t="s">
        <v>121</v>
      </c>
      <c r="R26" s="40" t="s">
        <v>4</v>
      </c>
      <c r="S26" s="41" t="s">
        <v>137</v>
      </c>
      <c r="U26" s="40" t="s">
        <v>109</v>
      </c>
      <c r="V26" s="41" t="s">
        <v>87</v>
      </c>
      <c r="W26" s="41" t="s">
        <v>128</v>
      </c>
      <c r="X26" s="41" t="s">
        <v>128</v>
      </c>
    </row>
    <row r="27" spans="2:24" ht="38" customHeight="1" x14ac:dyDescent="0.35">
      <c r="B27" s="4"/>
      <c r="C27" s="8" t="e">
        <f>+#REF!</f>
        <v>#REF!</v>
      </c>
      <c r="D27" s="8" t="s">
        <v>57</v>
      </c>
      <c r="E27" s="4"/>
      <c r="F27" s="4" t="s">
        <v>164</v>
      </c>
      <c r="G27" s="4" t="s">
        <v>65</v>
      </c>
      <c r="H27" s="6">
        <v>0.95833333333333337</v>
      </c>
      <c r="I27" s="6">
        <v>6.9444444444444448E-2</v>
      </c>
      <c r="J27" s="36">
        <v>0.1111111111111111</v>
      </c>
      <c r="K27" s="7">
        <v>20</v>
      </c>
      <c r="L27" s="65" t="s">
        <v>125</v>
      </c>
      <c r="M27" s="66">
        <v>3</v>
      </c>
      <c r="N27" s="37">
        <v>1</v>
      </c>
      <c r="O27" s="37"/>
      <c r="P27" s="4"/>
      <c r="Q27" s="4"/>
      <c r="R27" s="4"/>
      <c r="S27" s="36">
        <f t="shared" ref="S27:S29" si="6">+MOD(R27-Q27,1)</f>
        <v>0</v>
      </c>
      <c r="U27" s="45">
        <f>+IFERROR(VLOOKUP(D27,Datos!$R$24:$T$40,3,FALSE), "0")</f>
        <v>7.42913000977517E-2</v>
      </c>
      <c r="V27" s="67">
        <f t="shared" ref="V27:V29" si="7">IF(OR(D27="Perforación de Fortificación", D27="Perforación de Avance", D27="Perforación Desquinche"), K27*M27, "")</f>
        <v>60</v>
      </c>
      <c r="W27" s="67" t="str">
        <f t="shared" ref="W27:W29" si="8">IF(D27="Extracción de Marina Disparo",K27,"")</f>
        <v/>
      </c>
      <c r="X27" s="67" t="str">
        <f t="shared" ref="X27:X29" si="9">IF(OR(D27="Shotcrete", D27="Pre Shotcrete"), K27, "")</f>
        <v/>
      </c>
    </row>
    <row r="28" spans="2:24" ht="38" customHeight="1" x14ac:dyDescent="0.35">
      <c r="B28" s="4"/>
      <c r="C28" s="8" t="e">
        <f t="shared" ref="C28:C29" si="10">+C27</f>
        <v>#REF!</v>
      </c>
      <c r="D28" s="8" t="s">
        <v>54</v>
      </c>
      <c r="E28" s="4"/>
      <c r="F28" s="4" t="s">
        <v>164</v>
      </c>
      <c r="G28" s="4" t="s">
        <v>85</v>
      </c>
      <c r="H28" s="6">
        <v>8.3333333333333329E-2</v>
      </c>
      <c r="I28" s="6">
        <v>0.10416666666666667</v>
      </c>
      <c r="J28" s="36">
        <f>I28-H28</f>
        <v>2.0833333333333343E-2</v>
      </c>
      <c r="K28" s="7">
        <v>0</v>
      </c>
      <c r="L28" s="65"/>
      <c r="M28" s="66">
        <v>0</v>
      </c>
      <c r="N28" s="37">
        <v>1</v>
      </c>
      <c r="O28" s="37"/>
      <c r="P28" s="4"/>
      <c r="Q28" s="4"/>
      <c r="R28" s="4"/>
      <c r="S28" s="36">
        <f t="shared" si="6"/>
        <v>0</v>
      </c>
      <c r="U28" s="45">
        <f>+IFERROR(VLOOKUP(D28,Datos!$R$24:$T$40,3,FALSE), "0")</f>
        <v>0.14662756598240467</v>
      </c>
      <c r="V28" s="67" t="str">
        <f t="shared" si="7"/>
        <v/>
      </c>
      <c r="W28" s="67" t="str">
        <f t="shared" si="8"/>
        <v/>
      </c>
      <c r="X28" s="67" t="str">
        <f t="shared" si="9"/>
        <v/>
      </c>
    </row>
    <row r="29" spans="2:24" ht="38" customHeight="1" x14ac:dyDescent="0.35">
      <c r="B29" s="4"/>
      <c r="C29" s="8" t="e">
        <f t="shared" si="10"/>
        <v>#REF!</v>
      </c>
      <c r="D29" s="8" t="s">
        <v>54</v>
      </c>
      <c r="E29" s="4"/>
      <c r="F29" s="4" t="s">
        <v>164</v>
      </c>
      <c r="G29" s="4" t="s">
        <v>85</v>
      </c>
      <c r="H29" s="6">
        <v>0.16666666666666666</v>
      </c>
      <c r="I29" s="6">
        <v>0.26041666666666669</v>
      </c>
      <c r="J29" s="36">
        <f>I29-H29</f>
        <v>9.3750000000000028E-2</v>
      </c>
      <c r="K29" s="7">
        <v>20</v>
      </c>
      <c r="L29" s="65" t="s">
        <v>125</v>
      </c>
      <c r="M29" s="66">
        <v>3</v>
      </c>
      <c r="N29" s="37">
        <v>1</v>
      </c>
      <c r="O29" s="37"/>
      <c r="P29" s="4"/>
      <c r="Q29" s="4"/>
      <c r="R29" s="4"/>
      <c r="S29" s="36">
        <f t="shared" si="6"/>
        <v>0</v>
      </c>
      <c r="U29" s="45">
        <f>+IFERROR(VLOOKUP(D29,Datos!$R$24:$T$40,3,FALSE), "0")</f>
        <v>0.14662756598240467</v>
      </c>
      <c r="V29" s="67" t="str">
        <f t="shared" si="7"/>
        <v/>
      </c>
      <c r="W29" s="67" t="str">
        <f t="shared" si="8"/>
        <v/>
      </c>
      <c r="X29" s="67" t="str">
        <f t="shared" si="9"/>
        <v/>
      </c>
    </row>
    <row r="30" spans="2:24" ht="15.65" customHeight="1" thickBot="1" x14ac:dyDescent="0.4">
      <c r="B30" s="5"/>
      <c r="C30" s="5"/>
      <c r="D30" s="5"/>
      <c r="E30" s="5"/>
      <c r="F30" s="5"/>
      <c r="G30" s="5"/>
      <c r="H30" s="5"/>
      <c r="J30" s="80">
        <f>SUM(J27:J29)</f>
        <v>0.22569444444444448</v>
      </c>
      <c r="K30" s="5"/>
      <c r="L30" s="5"/>
      <c r="M30" s="5"/>
      <c r="N30" s="5"/>
      <c r="O30" s="5"/>
      <c r="P30" s="5"/>
      <c r="Q30" s="5"/>
      <c r="R30" s="5"/>
      <c r="S30" s="5"/>
    </row>
    <row r="31" spans="2:24" ht="30" customHeight="1" thickBot="1" x14ac:dyDescent="0.4">
      <c r="B31" s="69"/>
      <c r="C31" s="404" t="s">
        <v>64</v>
      </c>
      <c r="D31" s="404"/>
      <c r="E31" s="70"/>
      <c r="F31" s="70"/>
      <c r="G31" s="70"/>
      <c r="H31" s="70"/>
      <c r="I31" s="71"/>
      <c r="J31" s="72"/>
      <c r="K31" s="5"/>
      <c r="L31" s="5"/>
      <c r="M31" s="5"/>
      <c r="N31" s="5"/>
      <c r="O31" s="5"/>
      <c r="P31" s="5"/>
      <c r="Q31" s="5"/>
      <c r="R31" s="5"/>
      <c r="S31" s="5"/>
    </row>
    <row r="32" spans="2:24" ht="30" customHeight="1" x14ac:dyDescent="0.35">
      <c r="C32" s="54" t="s">
        <v>48</v>
      </c>
      <c r="D32" s="55">
        <f>SUMPRODUCT((LEFT(F21:F29, 1)="C") / (COUNTIF(F21:F29, F21:F29 &amp; "") + (F21:F29="")))</f>
        <v>0</v>
      </c>
      <c r="E32" s="406" t="s">
        <v>90</v>
      </c>
      <c r="F32" s="406"/>
      <c r="G32" s="56">
        <v>0.27083333333333331</v>
      </c>
      <c r="H32" s="3" t="s">
        <v>23</v>
      </c>
      <c r="I32" s="407"/>
      <c r="J32" s="407"/>
      <c r="K32" s="68"/>
      <c r="L32" s="5"/>
      <c r="M32" s="5"/>
      <c r="N32" s="5"/>
      <c r="O32" s="5"/>
      <c r="P32" s="5"/>
      <c r="Q32" s="5"/>
      <c r="R32" s="5"/>
      <c r="S32" s="5"/>
    </row>
    <row r="33" spans="2:19" ht="30" customHeight="1" x14ac:dyDescent="0.35">
      <c r="C33" s="54" t="s">
        <v>49</v>
      </c>
      <c r="D33" s="55">
        <f>SUMPRODUCT((LEFT(F21:F29, 1)="O") / (COUNTIF(F21:F29, F21:F29 &amp; "") + (F21:F29="")))</f>
        <v>0</v>
      </c>
      <c r="E33" s="405" t="s">
        <v>46</v>
      </c>
      <c r="F33" s="405"/>
      <c r="G33" s="57" t="e">
        <f>+SUM(SUMIF($F$21:$F$29, "C*", $J$21:$J$29))/SUMPRODUCT((LEFT(F21:F29, 1)="C") / (COUNTIF(F21:F29, F21:F29 &amp; "") + (F21:F29="")))</f>
        <v>#DIV/0!</v>
      </c>
      <c r="H33" s="39" t="e">
        <f>+G33*24/($G$32*24)</f>
        <v>#DIV/0!</v>
      </c>
      <c r="K33" s="68"/>
      <c r="L33" s="5"/>
      <c r="M33" s="5"/>
      <c r="N33" s="5"/>
      <c r="O33" s="5"/>
      <c r="P33" s="5"/>
      <c r="Q33" s="5"/>
      <c r="R33" s="5"/>
      <c r="S33" s="5"/>
    </row>
    <row r="34" spans="2:19" ht="30" customHeight="1" x14ac:dyDescent="0.35">
      <c r="E34" s="405" t="s">
        <v>47</v>
      </c>
      <c r="F34" s="405"/>
      <c r="G34" s="57">
        <f>+SUM(SUMIF($F$21:$F$29, "o*", $J$21:$J$29))</f>
        <v>0</v>
      </c>
      <c r="H34" s="39">
        <f>+G34*24/($G$32*24)</f>
        <v>0</v>
      </c>
      <c r="I34" s="5"/>
      <c r="J34" s="5"/>
      <c r="K34" s="68"/>
      <c r="L34" s="5"/>
      <c r="M34" s="5"/>
      <c r="N34" s="5"/>
      <c r="O34" s="5"/>
      <c r="P34" s="5"/>
      <c r="Q34" s="5"/>
      <c r="R34" s="5"/>
      <c r="S34" s="5"/>
    </row>
    <row r="35" spans="2:19" ht="30" customHeight="1" x14ac:dyDescent="0.35">
      <c r="E35" s="405" t="s">
        <v>94</v>
      </c>
      <c r="F35" s="405"/>
      <c r="G35" s="57"/>
      <c r="H35" s="39">
        <f>+AVERAGE(N21:N29)</f>
        <v>1</v>
      </c>
    </row>
    <row r="36" spans="2:19" ht="30" customHeight="1" x14ac:dyDescent="0.35">
      <c r="E36" s="79"/>
      <c r="F36" s="79"/>
      <c r="G36" s="80"/>
      <c r="H36" s="81"/>
      <c r="I36" s="78"/>
      <c r="J36" s="78"/>
      <c r="K36" s="78"/>
      <c r="L36" s="78"/>
      <c r="M36" s="78"/>
      <c r="N36" s="78"/>
    </row>
    <row r="37" spans="2:19" ht="30" customHeight="1" x14ac:dyDescent="0.35">
      <c r="E37" s="79"/>
      <c r="F37" s="79"/>
      <c r="G37" s="80"/>
      <c r="H37" s="81"/>
      <c r="I37" s="78"/>
      <c r="J37" s="78"/>
      <c r="K37" s="78"/>
      <c r="L37" s="78"/>
      <c r="M37" s="78"/>
      <c r="N37" s="78"/>
    </row>
    <row r="38" spans="2:19" ht="30" customHeight="1" x14ac:dyDescent="0.35">
      <c r="E38" s="54"/>
      <c r="F38" s="54"/>
      <c r="G38" s="57"/>
      <c r="H38" s="39"/>
      <c r="I38" s="407" t="s">
        <v>153</v>
      </c>
      <c r="J38" s="407"/>
      <c r="K38" s="407" t="s">
        <v>152</v>
      </c>
      <c r="L38" s="407"/>
      <c r="M38" s="407" t="s">
        <v>151</v>
      </c>
      <c r="N38" s="407"/>
      <c r="O38" s="345" t="s">
        <v>484</v>
      </c>
      <c r="P38" s="345" t="s">
        <v>485</v>
      </c>
    </row>
    <row r="39" spans="2:19" ht="14.4" customHeight="1" x14ac:dyDescent="0.35">
      <c r="E39" s="421" t="s">
        <v>174</v>
      </c>
      <c r="F39" s="421"/>
      <c r="G39" s="421"/>
      <c r="H39" s="46">
        <f>SUMPRODUCT(N21:N24 * U21:U24 * (N21:N24&lt;&gt;"") * (U21:U24&lt;&gt;""))</f>
        <v>0.47119224187107811</v>
      </c>
      <c r="I39" s="403">
        <f>+H39*$K$39*$M$39</f>
        <v>10.635751283513974</v>
      </c>
      <c r="J39" s="403"/>
      <c r="K39" s="422">
        <v>6.6</v>
      </c>
      <c r="L39" s="422"/>
      <c r="M39" s="401">
        <v>3.42</v>
      </c>
      <c r="N39" s="401"/>
      <c r="O39" s="344">
        <v>56.080975609756102</v>
      </c>
      <c r="P39" s="344">
        <f>+O39*M39*H39</f>
        <v>90.37322853366355</v>
      </c>
    </row>
    <row r="40" spans="2:19" ht="14.4" customHeight="1" x14ac:dyDescent="0.35">
      <c r="E40" s="421" t="s">
        <v>175</v>
      </c>
      <c r="F40" s="421"/>
      <c r="G40" s="421"/>
      <c r="H40" s="46">
        <f>+SUMPRODUCT(N27:N29 * U27:U29 * (N27:N29&lt;&gt;"") * (U27:U29&lt;&gt;""))</f>
        <v>0.36754643206256105</v>
      </c>
      <c r="I40" s="403">
        <f>+H40*$K$40*$M$39</f>
        <v>14.832703812316716</v>
      </c>
      <c r="J40" s="403"/>
      <c r="K40" s="423">
        <v>11.8</v>
      </c>
      <c r="L40" s="423"/>
      <c r="M40" s="401">
        <v>3.42</v>
      </c>
      <c r="N40" s="401"/>
      <c r="O40" s="344">
        <v>118.52055555555555</v>
      </c>
      <c r="P40" s="344">
        <f>+O40*M40*H40</f>
        <v>148.9813810361681</v>
      </c>
    </row>
    <row r="41" spans="2:19" ht="15" thickBot="1" x14ac:dyDescent="0.4">
      <c r="P41" s="352">
        <f>SUM(P38:P40)</f>
        <v>239.35460956983167</v>
      </c>
    </row>
    <row r="42" spans="2:19" ht="30" customHeight="1" thickBot="1" x14ac:dyDescent="0.4">
      <c r="B42" s="69"/>
      <c r="C42" s="404" t="s">
        <v>88</v>
      </c>
      <c r="D42" s="404"/>
      <c r="E42" s="70"/>
      <c r="F42" s="70"/>
      <c r="G42" s="70"/>
      <c r="H42" s="70"/>
      <c r="I42" s="71"/>
      <c r="J42" s="72"/>
    </row>
    <row r="43" spans="2:19" ht="38" customHeight="1" x14ac:dyDescent="0.35">
      <c r="C43" s="58" t="s">
        <v>89</v>
      </c>
      <c r="D43" s="55">
        <f>SUMPRODUCT((LEFT(G21:G29, 5)="Jumbo") / (COUNTIF(G21:G29, G21:G29 &amp; "") + (G21:G29="")))</f>
        <v>1</v>
      </c>
      <c r="E43" s="406" t="s">
        <v>90</v>
      </c>
      <c r="F43" s="406"/>
      <c r="G43" s="56">
        <v>0.20833333333333334</v>
      </c>
      <c r="I43" s="3"/>
      <c r="J43" s="5"/>
    </row>
    <row r="44" spans="2:19" ht="38" customHeight="1" x14ac:dyDescent="0.35">
      <c r="E44" s="406" t="s">
        <v>93</v>
      </c>
      <c r="F44" s="406"/>
      <c r="G44" s="55">
        <f>15000/(60)</f>
        <v>250</v>
      </c>
      <c r="H44" s="60" t="s">
        <v>143</v>
      </c>
      <c r="I44" s="3"/>
      <c r="J44" s="5"/>
    </row>
    <row r="45" spans="2:19" ht="38" customHeight="1" x14ac:dyDescent="0.35">
      <c r="E45" s="405" t="s">
        <v>91</v>
      </c>
      <c r="F45" s="405"/>
      <c r="G45" s="57">
        <f>+SUM(SUMIF($G$21:$G$29, "Jumbo*", $J$21:$J$29))/SUMPRODUCT((LEFT(G21:G29, 5)="Jumbo") / (COUNTIF(G21:G29, G21:G29 &amp; "") + (G21:G29="")))</f>
        <v>0.1111111111111111</v>
      </c>
      <c r="H45" s="39">
        <f>+G45*24/($G$43*24)</f>
        <v>0.53333333333333333</v>
      </c>
      <c r="I45" s="5"/>
      <c r="J45" s="5"/>
    </row>
    <row r="46" spans="2:19" ht="38" customHeight="1" x14ac:dyDescent="0.35">
      <c r="E46" s="405" t="s">
        <v>92</v>
      </c>
      <c r="F46" s="405"/>
      <c r="G46" s="59">
        <f>+SUM(V21:V29)/D43</f>
        <v>60</v>
      </c>
      <c r="H46" s="39">
        <f>+G46/G44</f>
        <v>0.24</v>
      </c>
      <c r="I46" s="5"/>
      <c r="J46" s="5"/>
      <c r="P46" s="321">
        <f>+P44+'01-07 B'!P41</f>
        <v>239.35460956983167</v>
      </c>
    </row>
    <row r="47" spans="2:19" ht="38" customHeight="1" x14ac:dyDescent="0.35">
      <c r="G47" s="38" t="s">
        <v>87</v>
      </c>
      <c r="H47" s="3" t="s">
        <v>23</v>
      </c>
    </row>
    <row r="48" spans="2:19" ht="20" customHeight="1" x14ac:dyDescent="0.35">
      <c r="F48" s="53" t="s">
        <v>65</v>
      </c>
      <c r="G48" s="59">
        <f t="shared" ref="G48:G53" si="11" xml:space="preserve"> SUMIF($G$21:$G$29, +F48,$V$21:$V$29)</f>
        <v>60</v>
      </c>
      <c r="H48" s="39">
        <f t="shared" ref="H48:H53" si="12">+G48/$G$44</f>
        <v>0.24</v>
      </c>
    </row>
    <row r="49" spans="2:10" ht="20" customHeight="1" x14ac:dyDescent="0.35">
      <c r="F49" s="53" t="s">
        <v>66</v>
      </c>
      <c r="G49" s="59">
        <f t="shared" si="11"/>
        <v>0</v>
      </c>
      <c r="H49" s="39">
        <f t="shared" si="12"/>
        <v>0</v>
      </c>
    </row>
    <row r="50" spans="2:10" ht="20" customHeight="1" x14ac:dyDescent="0.35">
      <c r="F50" s="53" t="s">
        <v>67</v>
      </c>
      <c r="G50" s="59">
        <f t="shared" si="11"/>
        <v>0</v>
      </c>
      <c r="H50" s="39">
        <f t="shared" si="12"/>
        <v>0</v>
      </c>
    </row>
    <row r="51" spans="2:10" ht="20" customHeight="1" x14ac:dyDescent="0.35">
      <c r="F51" s="53" t="s">
        <v>68</v>
      </c>
      <c r="G51" s="59">
        <f t="shared" si="11"/>
        <v>0</v>
      </c>
      <c r="H51" s="39">
        <f t="shared" si="12"/>
        <v>0</v>
      </c>
    </row>
    <row r="52" spans="2:10" ht="20" customHeight="1" x14ac:dyDescent="0.35">
      <c r="F52" s="53" t="s">
        <v>69</v>
      </c>
      <c r="G52" s="59">
        <f t="shared" si="11"/>
        <v>0</v>
      </c>
      <c r="H52" s="39">
        <f t="shared" si="12"/>
        <v>0</v>
      </c>
    </row>
    <row r="53" spans="2:10" ht="20" customHeight="1" x14ac:dyDescent="0.35">
      <c r="F53" s="53" t="s">
        <v>70</v>
      </c>
      <c r="G53" s="59">
        <f t="shared" si="11"/>
        <v>0</v>
      </c>
      <c r="H53" s="39">
        <f t="shared" si="12"/>
        <v>0</v>
      </c>
    </row>
    <row r="54" spans="2:10" ht="20" customHeight="1" x14ac:dyDescent="0.35">
      <c r="F54" s="53" t="s">
        <v>146</v>
      </c>
      <c r="G54" s="59">
        <f>+SUM(G48:G53)</f>
        <v>60</v>
      </c>
      <c r="H54" s="39">
        <f>+G54/($G$44*$D$43)</f>
        <v>0.24</v>
      </c>
    </row>
    <row r="55" spans="2:10" ht="15" thickBot="1" x14ac:dyDescent="0.4"/>
    <row r="56" spans="2:10" ht="30" customHeight="1" thickBot="1" x14ac:dyDescent="0.4">
      <c r="B56" s="69"/>
      <c r="C56" s="404" t="s">
        <v>107</v>
      </c>
      <c r="D56" s="404"/>
      <c r="E56" s="70"/>
      <c r="F56" s="70"/>
      <c r="G56" s="70"/>
      <c r="H56" s="70"/>
      <c r="I56" s="71"/>
      <c r="J56" s="72"/>
    </row>
    <row r="57" spans="2:10" ht="38" customHeight="1" x14ac:dyDescent="0.35">
      <c r="C57" s="53" t="s">
        <v>95</v>
      </c>
      <c r="D57" s="55">
        <f>SUMPRODUCT((LEFT(G21:G29, 5)="Scoop") / (COUNTIF(G21:G29, G21:G29 &amp; "") + (G21:G29="")))</f>
        <v>1</v>
      </c>
      <c r="E57" s="406" t="s">
        <v>90</v>
      </c>
      <c r="F57" s="406"/>
      <c r="G57" s="56">
        <v>0.20833333333333334</v>
      </c>
      <c r="I57" s="3"/>
      <c r="J57" s="5"/>
    </row>
    <row r="58" spans="2:10" ht="38" customHeight="1" x14ac:dyDescent="0.35">
      <c r="C58" s="53" t="s">
        <v>145</v>
      </c>
      <c r="D58" s="55">
        <v>4.9000000000000004</v>
      </c>
      <c r="E58" s="406" t="s">
        <v>97</v>
      </c>
      <c r="F58" s="406"/>
      <c r="G58" s="55">
        <f>15000/(60)</f>
        <v>250</v>
      </c>
      <c r="H58" s="60" t="s">
        <v>23</v>
      </c>
      <c r="I58" s="3"/>
      <c r="J58" s="5"/>
    </row>
    <row r="59" spans="2:10" ht="38" customHeight="1" x14ac:dyDescent="0.35">
      <c r="E59" s="405" t="s">
        <v>98</v>
      </c>
      <c r="F59" s="405"/>
      <c r="G59" s="57">
        <f>+SUM(SUMIF($G$21:$G$29, "Scoop*", $J$21:$J$29))/SUMPRODUCT((LEFT(G21:G29, 5)="Scoop") / (COUNTIF(G21:G29, G21:G29 &amp; "") + (G21:G29="")))</f>
        <v>0</v>
      </c>
      <c r="H59" s="39">
        <f>+G59*24/($G$57*24)</f>
        <v>0</v>
      </c>
      <c r="I59" s="5"/>
      <c r="J59" s="5"/>
    </row>
    <row r="60" spans="2:10" ht="38" customHeight="1" x14ac:dyDescent="0.35">
      <c r="E60" s="405" t="s">
        <v>99</v>
      </c>
      <c r="F60" s="405"/>
      <c r="G60" s="59">
        <f>+SUM(W21:W29)*D58/D57</f>
        <v>205.8</v>
      </c>
      <c r="H60" s="39">
        <f>+G60/G58</f>
        <v>0.82320000000000004</v>
      </c>
      <c r="I60" s="5"/>
      <c r="J60" s="5"/>
    </row>
    <row r="61" spans="2:10" ht="38" customHeight="1" x14ac:dyDescent="0.35">
      <c r="G61" s="38" t="s">
        <v>96</v>
      </c>
      <c r="H61" s="3" t="s">
        <v>23</v>
      </c>
    </row>
    <row r="62" spans="2:10" ht="20" customHeight="1" x14ac:dyDescent="0.35">
      <c r="F62" s="53" t="s">
        <v>71</v>
      </c>
      <c r="G62" s="59">
        <f t="shared" ref="G62:G67" si="13" xml:space="preserve"> SUMIF($G$21:$G$29, +F62,$W$21:$W$29)*$D$58</f>
        <v>205.8</v>
      </c>
      <c r="H62" s="39">
        <f>+G62/$G$58</f>
        <v>0.82320000000000004</v>
      </c>
    </row>
    <row r="63" spans="2:10" ht="20" customHeight="1" x14ac:dyDescent="0.35">
      <c r="F63" s="53" t="s">
        <v>72</v>
      </c>
      <c r="G63" s="59">
        <f t="shared" si="13"/>
        <v>0</v>
      </c>
      <c r="H63" s="39">
        <f t="shared" ref="H63:H68" si="14">+G63/$G$58</f>
        <v>0</v>
      </c>
    </row>
    <row r="64" spans="2:10" ht="20" customHeight="1" x14ac:dyDescent="0.35">
      <c r="F64" s="53" t="s">
        <v>73</v>
      </c>
      <c r="G64" s="59">
        <f t="shared" si="13"/>
        <v>0</v>
      </c>
      <c r="H64" s="39">
        <f t="shared" si="14"/>
        <v>0</v>
      </c>
    </row>
    <row r="65" spans="2:10" ht="20" customHeight="1" x14ac:dyDescent="0.35">
      <c r="F65" s="53" t="s">
        <v>74</v>
      </c>
      <c r="G65" s="59">
        <f t="shared" si="13"/>
        <v>0</v>
      </c>
      <c r="H65" s="39">
        <f t="shared" si="14"/>
        <v>0</v>
      </c>
    </row>
    <row r="66" spans="2:10" ht="20" customHeight="1" x14ac:dyDescent="0.35">
      <c r="F66" s="53" t="s">
        <v>75</v>
      </c>
      <c r="G66" s="59">
        <f t="shared" si="13"/>
        <v>0</v>
      </c>
      <c r="H66" s="39">
        <f t="shared" si="14"/>
        <v>0</v>
      </c>
    </row>
    <row r="67" spans="2:10" ht="20" customHeight="1" x14ac:dyDescent="0.35">
      <c r="F67" s="53" t="s">
        <v>76</v>
      </c>
      <c r="G67" s="59">
        <f t="shared" si="13"/>
        <v>0</v>
      </c>
      <c r="H67" s="39">
        <f t="shared" si="14"/>
        <v>0</v>
      </c>
    </row>
    <row r="68" spans="2:10" ht="20" customHeight="1" x14ac:dyDescent="0.35">
      <c r="F68" s="53" t="s">
        <v>146</v>
      </c>
      <c r="G68" s="59">
        <f>+SUM(G62:G67)</f>
        <v>205.8</v>
      </c>
      <c r="H68" s="39">
        <f t="shared" si="14"/>
        <v>0.82320000000000004</v>
      </c>
    </row>
    <row r="69" spans="2:10" ht="15" thickBot="1" x14ac:dyDescent="0.4"/>
    <row r="70" spans="2:10" ht="30" customHeight="1" thickBot="1" x14ac:dyDescent="0.4">
      <c r="B70" s="69"/>
      <c r="C70" s="404" t="s">
        <v>149</v>
      </c>
      <c r="D70" s="404"/>
      <c r="E70" s="70"/>
      <c r="F70" s="70"/>
      <c r="G70" s="70"/>
      <c r="H70" s="70"/>
      <c r="I70" s="71"/>
      <c r="J70" s="72"/>
    </row>
    <row r="71" spans="2:10" ht="25.25" customHeight="1" x14ac:dyDescent="0.35">
      <c r="C71" s="53" t="s">
        <v>150</v>
      </c>
      <c r="D71" s="55">
        <f>SUMPRODUCT((LEFT(G21:G29, 8)="Roboshot") / (COUNTIF(G21:G29, G21:G29 &amp; "") + (G21:G29="")))</f>
        <v>0</v>
      </c>
      <c r="E71" s="406" t="s">
        <v>90</v>
      </c>
      <c r="F71" s="406"/>
      <c r="G71" s="56">
        <v>0.20833333333333334</v>
      </c>
    </row>
    <row r="72" spans="2:10" x14ac:dyDescent="0.35">
      <c r="C72" s="53"/>
      <c r="D72" s="55"/>
      <c r="E72" s="406" t="s">
        <v>97</v>
      </c>
      <c r="F72" s="406"/>
      <c r="G72" s="55">
        <v>12</v>
      </c>
      <c r="H72" s="60" t="s">
        <v>23</v>
      </c>
    </row>
    <row r="74" spans="2:10" x14ac:dyDescent="0.35">
      <c r="G74" s="38" t="s">
        <v>96</v>
      </c>
      <c r="H74" s="3" t="s">
        <v>23</v>
      </c>
    </row>
    <row r="75" spans="2:10" x14ac:dyDescent="0.35">
      <c r="F75" s="53" t="s">
        <v>77</v>
      </c>
      <c r="G75" s="59">
        <f xml:space="preserve"> SUMIF($G$21:$G$29, +F75,$X$21:$X$29)</f>
        <v>0</v>
      </c>
      <c r="H75" s="39">
        <f>+G75/$G$72</f>
        <v>0</v>
      </c>
    </row>
    <row r="76" spans="2:10" x14ac:dyDescent="0.35">
      <c r="F76" s="53" t="s">
        <v>78</v>
      </c>
      <c r="G76" s="59">
        <f xml:space="preserve"> SUMIF($G$21:$G$29, +F76,$X$21:$X$29)</f>
        <v>0</v>
      </c>
      <c r="H76" s="39">
        <f t="shared" ref="H76:H77" si="15">+G76/$G$72</f>
        <v>0</v>
      </c>
    </row>
    <row r="77" spans="2:10" x14ac:dyDescent="0.35">
      <c r="F77" s="53" t="s">
        <v>79</v>
      </c>
      <c r="G77" s="59">
        <f xml:space="preserve"> SUMIF($G$21:$G$29, +F77,$X$21:$X$29)</f>
        <v>0</v>
      </c>
      <c r="H77" s="39">
        <f t="shared" si="15"/>
        <v>0</v>
      </c>
    </row>
    <row r="78" spans="2:10" x14ac:dyDescent="0.35">
      <c r="F78" s="53" t="s">
        <v>146</v>
      </c>
      <c r="G78" s="59">
        <f>+SUM(G75:G77)</f>
        <v>0</v>
      </c>
      <c r="H78" s="39">
        <f>+G78/$G$72</f>
        <v>0</v>
      </c>
    </row>
  </sheetData>
  <mergeCells count="41">
    <mergeCell ref="E32:F32"/>
    <mergeCell ref="I32:J32"/>
    <mergeCell ref="C31:D31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  <mergeCell ref="E33:F33"/>
    <mergeCell ref="M39:N39"/>
    <mergeCell ref="E34:F34"/>
    <mergeCell ref="C42:D42"/>
    <mergeCell ref="E43:F43"/>
    <mergeCell ref="K38:L38"/>
    <mergeCell ref="E39:G39"/>
    <mergeCell ref="I39:J39"/>
    <mergeCell ref="K39:L39"/>
    <mergeCell ref="E40:G40"/>
    <mergeCell ref="I40:J40"/>
    <mergeCell ref="K40:L40"/>
    <mergeCell ref="E35:F35"/>
    <mergeCell ref="I38:J38"/>
    <mergeCell ref="M38:N38"/>
    <mergeCell ref="M40:N40"/>
    <mergeCell ref="E58:F58"/>
    <mergeCell ref="E44:F44"/>
    <mergeCell ref="E45:F45"/>
    <mergeCell ref="E46:F46"/>
    <mergeCell ref="C56:D56"/>
    <mergeCell ref="E57:F57"/>
    <mergeCell ref="E59:F59"/>
    <mergeCell ref="E60:F60"/>
    <mergeCell ref="C70:D70"/>
    <mergeCell ref="E71:F71"/>
    <mergeCell ref="E72:F72"/>
  </mergeCells>
  <conditionalFormatting sqref="H33:H38">
    <cfRule type="cellIs" dxfId="1235" priority="10" operator="greaterThan">
      <formula>0.9</formula>
    </cfRule>
    <cfRule type="cellIs" dxfId="1234" priority="11" operator="between">
      <formula>0.81</formula>
      <formula>0.89</formula>
    </cfRule>
    <cfRule type="cellIs" dxfId="1233" priority="12" operator="lessThan">
      <formula>0.8</formula>
    </cfRule>
  </conditionalFormatting>
  <conditionalFormatting sqref="H45:H46">
    <cfRule type="cellIs" dxfId="1232" priority="13" operator="greaterThan">
      <formula>0.9</formula>
    </cfRule>
    <cfRule type="cellIs" dxfId="1231" priority="14" operator="between">
      <formula>0.81</formula>
      <formula>0.89</formula>
    </cfRule>
    <cfRule type="cellIs" dxfId="1230" priority="15" operator="lessThan">
      <formula>0.8</formula>
    </cfRule>
  </conditionalFormatting>
  <conditionalFormatting sqref="H48:H54">
    <cfRule type="cellIs" dxfId="1229" priority="16" operator="greaterThan">
      <formula>0.9</formula>
    </cfRule>
    <cfRule type="cellIs" dxfId="1228" priority="17" operator="between">
      <formula>0.81</formula>
      <formula>0.89</formula>
    </cfRule>
    <cfRule type="cellIs" dxfId="1227" priority="18" operator="lessThan">
      <formula>0.8</formula>
    </cfRule>
  </conditionalFormatting>
  <conditionalFormatting sqref="H59:H60">
    <cfRule type="cellIs" dxfId="1226" priority="4" operator="greaterThan">
      <formula>0.9</formula>
    </cfRule>
    <cfRule type="cellIs" dxfId="1225" priority="5" operator="between">
      <formula>0.81</formula>
      <formula>0.89</formula>
    </cfRule>
    <cfRule type="cellIs" dxfId="1224" priority="6" operator="lessThan">
      <formula>0.8</formula>
    </cfRule>
  </conditionalFormatting>
  <conditionalFormatting sqref="H62:H68">
    <cfRule type="cellIs" dxfId="1223" priority="7" operator="greaterThan">
      <formula>0.9</formula>
    </cfRule>
    <cfRule type="cellIs" dxfId="1222" priority="8" operator="between">
      <formula>0.81</formula>
      <formula>0.89</formula>
    </cfRule>
    <cfRule type="cellIs" dxfId="1221" priority="9" operator="lessThan">
      <formula>0.8</formula>
    </cfRule>
  </conditionalFormatting>
  <conditionalFormatting sqref="H75:H78">
    <cfRule type="cellIs" dxfId="1220" priority="1" operator="greaterThan">
      <formula>0.9</formula>
    </cfRule>
    <cfRule type="cellIs" dxfId="1219" priority="2" operator="between">
      <formula>0.81</formula>
      <formula>0.89</formula>
    </cfRule>
    <cfRule type="cellIs" dxfId="1218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8E85DF4-D264-41E0-8266-B628DA462B2C}">
          <x14:formula1>
            <xm:f>Datos!$B$3:$B$8</xm:f>
          </x14:formula1>
          <xm:sqref>E21:E24 E27:E29</xm:sqref>
        </x14:dataValidation>
        <x14:dataValidation type="list" allowBlank="1" showInputMessage="1" showErrorMessage="1" xr:uid="{EE9C6C99-DBBE-4EFE-AEC6-7A02854CA72F}">
          <x14:formula1>
            <xm:f>Datos!$D$3:$D$27</xm:f>
          </x14:formula1>
          <xm:sqref>F21:F24 F27:F29</xm:sqref>
        </x14:dataValidation>
        <x14:dataValidation type="list" allowBlank="1" showInputMessage="1" showErrorMessage="1" xr:uid="{DB0F80E0-5538-4E32-9151-6937DFC38324}">
          <x14:formula1>
            <xm:f>Datos!$W$3:$W$12</xm:f>
          </x14:formula1>
          <xm:sqref>L21:L24 L27:L29</xm:sqref>
        </x14:dataValidation>
        <x14:dataValidation type="list" allowBlank="1" showInputMessage="1" showErrorMessage="1" xr:uid="{C6FD8B9D-A860-4363-90B0-554685F95D0D}">
          <x14:formula1>
            <xm:f>Datos!$F$3:$F$41</xm:f>
          </x14:formula1>
          <xm:sqref>G21:G24 G27:G29</xm:sqref>
        </x14:dataValidation>
        <x14:dataValidation type="list" allowBlank="1" showInputMessage="1" showErrorMessage="1" xr:uid="{2AC00459-4A1E-48CF-AA93-47EB6CDEBA16}">
          <x14:formula1>
            <xm:f>Datos!$H$3:$H$26</xm:f>
          </x14:formula1>
          <xm:sqref>D21:D22 D27:D29</xm:sqref>
        </x14:dataValidation>
        <x14:dataValidation type="list" allowBlank="1" showInputMessage="1" showErrorMessage="1" xr:uid="{D2E661CF-BD78-4C34-BF9E-32F5F82A61B3}">
          <x14:formula1>
            <xm:f>Datos!$H$3:$H$27</xm:f>
          </x14:formula1>
          <xm:sqref>D23:D24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93FA-810B-4567-9949-7DDB542A07FD}">
  <sheetPr codeName="Hoja4">
    <pageSetUpPr fitToPage="1"/>
  </sheetPr>
  <dimension ref="B1:X81"/>
  <sheetViews>
    <sheetView showGridLines="0" topLeftCell="A19" zoomScale="70" zoomScaleNormal="70" zoomScaleSheetLayoutView="50" workbookViewId="0">
      <pane xSplit="3" ySplit="2" topLeftCell="D36" activePane="bottomRight" state="frozen"/>
      <selection activeCell="A19" sqref="A19"/>
      <selection pane="topRight" activeCell="D19" sqref="D19"/>
      <selection pane="bottomLeft" activeCell="A21" sqref="A21"/>
      <selection pane="bottomRight" activeCell="P45" sqref="P45"/>
    </sheetView>
  </sheetViews>
  <sheetFormatPr baseColWidth="10" defaultRowHeight="14.5" x14ac:dyDescent="0.35"/>
  <cols>
    <col min="1" max="1" width="2.81640625" customWidth="1"/>
    <col min="2" max="2" width="8.81640625" bestFit="1" customWidth="1"/>
    <col min="3" max="3" width="32.81640625" bestFit="1" customWidth="1"/>
    <col min="4" max="4" width="24.08984375" customWidth="1"/>
    <col min="5" max="5" width="13.36328125" bestFit="1" customWidth="1"/>
    <col min="6" max="6" width="19.453125" customWidth="1"/>
    <col min="7" max="7" width="15.81640625" customWidth="1"/>
    <col min="8" max="8" width="19.36328125" bestFit="1" customWidth="1"/>
    <col min="9" max="9" width="11.81640625" customWidth="1"/>
    <col min="10" max="10" width="20.6328125" customWidth="1"/>
    <col min="11" max="11" width="19.1796875" customWidth="1"/>
    <col min="12" max="12" width="22.453125" customWidth="1"/>
    <col min="13" max="13" width="19" customWidth="1"/>
    <col min="14" max="14" width="19.6328125" customWidth="1"/>
    <col min="15" max="15" width="55.90625" customWidth="1"/>
    <col min="16" max="16" width="25.453125" customWidth="1"/>
    <col min="17" max="17" width="12.6328125" customWidth="1"/>
    <col min="18" max="18" width="12.08984375" customWidth="1"/>
    <col min="19" max="19" width="19.54296875" customWidth="1"/>
    <col min="20" max="20" width="4" customWidth="1"/>
    <col min="21" max="21" width="20.54296875" customWidth="1"/>
    <col min="22" max="24" width="11.54296875" customWidth="1"/>
  </cols>
  <sheetData>
    <row r="1" spans="2:19" ht="24.5" hidden="1" customHeight="1" x14ac:dyDescent="0.35">
      <c r="B1" s="409"/>
      <c r="C1" s="410"/>
      <c r="D1" s="411"/>
      <c r="S1" s="1" t="s">
        <v>10</v>
      </c>
    </row>
    <row r="2" spans="2:19" ht="24.5" hidden="1" customHeight="1" x14ac:dyDescent="0.35">
      <c r="B2" s="412"/>
      <c r="C2" s="413"/>
      <c r="D2" s="414"/>
      <c r="E2" s="415" t="s">
        <v>0</v>
      </c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2"/>
    </row>
    <row r="3" spans="2:19" hidden="1" x14ac:dyDescent="0.35">
      <c r="B3" s="412"/>
      <c r="C3" s="413"/>
      <c r="D3" s="414"/>
      <c r="E3" s="415" t="s">
        <v>17</v>
      </c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6"/>
      <c r="S3" s="2" t="s">
        <v>1</v>
      </c>
    </row>
    <row r="4" spans="2:19" hidden="1" x14ac:dyDescent="0.35">
      <c r="B4" s="412"/>
      <c r="C4" s="413"/>
      <c r="D4" s="414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6"/>
      <c r="S4" s="19" t="s">
        <v>16</v>
      </c>
    </row>
    <row r="5" spans="2:19" ht="17" hidden="1" customHeight="1" x14ac:dyDescent="0.4">
      <c r="B5" s="20"/>
      <c r="C5" s="21"/>
      <c r="D5" s="22"/>
      <c r="E5" s="23"/>
      <c r="F5" s="23"/>
      <c r="G5" s="23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4"/>
    </row>
    <row r="6" spans="2:19" ht="17" hidden="1" customHeight="1" x14ac:dyDescent="0.4">
      <c r="B6" s="25"/>
      <c r="C6" s="61" t="s">
        <v>18</v>
      </c>
      <c r="D6" s="52"/>
      <c r="E6" s="10"/>
      <c r="F6" s="10"/>
      <c r="G6" s="10"/>
      <c r="H6" s="9"/>
      <c r="I6" s="9"/>
      <c r="J6" s="52"/>
      <c r="K6" s="420" t="s">
        <v>119</v>
      </c>
      <c r="L6" s="420"/>
      <c r="M6" s="48" t="e">
        <f>+G37</f>
        <v>#DIV/0!</v>
      </c>
      <c r="O6" s="9"/>
      <c r="P6" s="9"/>
      <c r="Q6" s="9"/>
      <c r="R6" s="9"/>
      <c r="S6" s="26"/>
    </row>
    <row r="7" spans="2:19" ht="17" hidden="1" customHeight="1" x14ac:dyDescent="0.4">
      <c r="B7" s="25"/>
      <c r="C7" s="52" t="s">
        <v>19</v>
      </c>
      <c r="D7" s="52"/>
      <c r="E7" s="10"/>
      <c r="F7" s="10"/>
      <c r="G7" s="10"/>
      <c r="H7" s="9"/>
      <c r="I7" s="9"/>
      <c r="J7" s="52"/>
      <c r="K7" s="420" t="s">
        <v>117</v>
      </c>
      <c r="L7" s="420"/>
      <c r="M7" s="49">
        <f>+H39</f>
        <v>0.77500000000000002</v>
      </c>
      <c r="O7" s="9"/>
      <c r="P7" s="9"/>
      <c r="Q7" s="9"/>
      <c r="R7" s="9"/>
      <c r="S7" s="26"/>
    </row>
    <row r="8" spans="2:19" ht="17" hidden="1" customHeight="1" x14ac:dyDescent="0.4">
      <c r="B8" s="25"/>
      <c r="C8" s="52" t="s">
        <v>20</v>
      </c>
      <c r="D8" s="52"/>
      <c r="E8" s="10"/>
      <c r="F8" s="10"/>
      <c r="G8" s="10"/>
      <c r="H8" s="9"/>
      <c r="I8" s="9"/>
      <c r="J8" s="52" t="s">
        <v>115</v>
      </c>
      <c r="K8" s="420" t="s">
        <v>118</v>
      </c>
      <c r="L8" s="420"/>
      <c r="M8" s="50">
        <f>+G57</f>
        <v>330.59999999999997</v>
      </c>
      <c r="O8" s="9"/>
      <c r="P8" s="9"/>
      <c r="Q8" s="9"/>
      <c r="R8" s="9"/>
      <c r="S8" s="26"/>
    </row>
    <row r="9" spans="2:19" ht="17" hidden="1" customHeight="1" x14ac:dyDescent="0.4">
      <c r="B9" s="25"/>
      <c r="C9" s="52" t="s">
        <v>21</v>
      </c>
      <c r="D9" s="52"/>
      <c r="E9" s="10"/>
      <c r="F9" s="10"/>
      <c r="G9" s="10"/>
      <c r="H9" s="9"/>
      <c r="I9" s="9"/>
      <c r="J9" s="52" t="s">
        <v>116</v>
      </c>
      <c r="K9" s="420" t="s">
        <v>147</v>
      </c>
      <c r="L9" s="420"/>
      <c r="M9" s="50">
        <f>+G71</f>
        <v>0</v>
      </c>
      <c r="O9" s="9"/>
      <c r="P9" s="9"/>
      <c r="Q9" s="9"/>
      <c r="R9" s="9"/>
      <c r="S9" s="26"/>
    </row>
    <row r="10" spans="2:19" ht="17" hidden="1" customHeight="1" x14ac:dyDescent="0.4">
      <c r="B10" s="25"/>
      <c r="C10" s="52"/>
      <c r="D10" s="52"/>
      <c r="E10" s="10"/>
      <c r="F10" s="10"/>
      <c r="G10" s="10"/>
      <c r="H10" s="9"/>
      <c r="I10" s="9"/>
      <c r="J10" s="52"/>
      <c r="K10" s="420" t="s">
        <v>148</v>
      </c>
      <c r="L10" s="420"/>
      <c r="M10" s="50">
        <f>+G81</f>
        <v>7</v>
      </c>
      <c r="O10" s="9"/>
      <c r="P10" s="9"/>
      <c r="Q10" s="9"/>
      <c r="R10" s="9"/>
      <c r="S10" s="26"/>
    </row>
    <row r="11" spans="2:19" ht="17" hidden="1" customHeight="1" x14ac:dyDescent="0.4">
      <c r="B11" s="25"/>
      <c r="C11" s="61"/>
      <c r="D11" s="52"/>
      <c r="E11" s="10"/>
      <c r="F11" s="10"/>
      <c r="G11" s="10"/>
      <c r="H11" s="9"/>
      <c r="I11" s="9"/>
      <c r="J11" s="52"/>
      <c r="K11" s="420" t="s">
        <v>120</v>
      </c>
      <c r="L11" s="420"/>
      <c r="M11" s="51" t="e">
        <f>+#REF!</f>
        <v>#REF!</v>
      </c>
      <c r="O11" s="9"/>
      <c r="P11" s="9"/>
      <c r="Q11" s="9"/>
      <c r="R11" s="9"/>
      <c r="S11" s="26"/>
    </row>
    <row r="12" spans="2:19" ht="17" hidden="1" customHeight="1" x14ac:dyDescent="0.4">
      <c r="B12" s="25"/>
      <c r="C12" s="52"/>
      <c r="D12" s="52"/>
      <c r="E12" s="10"/>
      <c r="F12" s="10"/>
      <c r="G12" s="10"/>
      <c r="H12" s="9"/>
      <c r="I12" s="9"/>
      <c r="J12" s="52"/>
      <c r="K12" s="420" t="s">
        <v>133</v>
      </c>
      <c r="L12" s="420"/>
      <c r="M12" s="62">
        <f>+D15+D16+D17+D18</f>
        <v>0</v>
      </c>
      <c r="O12" s="9"/>
      <c r="P12" s="9"/>
      <c r="Q12" s="9"/>
      <c r="R12" s="9"/>
      <c r="S12" s="26"/>
    </row>
    <row r="13" spans="2:19" ht="17" hidden="1" customHeight="1" x14ac:dyDescent="0.4">
      <c r="B13" s="27"/>
      <c r="C13" s="17"/>
      <c r="D13" s="28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30"/>
    </row>
    <row r="14" spans="2:19" ht="17" hidden="1" customHeight="1" x14ac:dyDescent="0.4">
      <c r="B14" s="426" t="s">
        <v>15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8"/>
    </row>
    <row r="15" spans="2:19" ht="21" hidden="1" customHeight="1" x14ac:dyDescent="0.35">
      <c r="B15" s="31" t="s">
        <v>6</v>
      </c>
      <c r="C15" s="11" t="s">
        <v>8</v>
      </c>
      <c r="D15" s="12">
        <f>+K15+P15</f>
        <v>0</v>
      </c>
      <c r="E15" s="12"/>
      <c r="F15" s="12"/>
      <c r="G15" s="12"/>
      <c r="H15" s="12" t="s">
        <v>11</v>
      </c>
      <c r="I15" s="12"/>
      <c r="J15" s="11" t="s">
        <v>8</v>
      </c>
      <c r="K15" s="12"/>
      <c r="L15" s="13"/>
      <c r="M15" s="13"/>
      <c r="N15" s="33" t="s">
        <v>13</v>
      </c>
      <c r="O15" s="11" t="s">
        <v>8</v>
      </c>
      <c r="P15" s="12"/>
      <c r="Q15" s="13"/>
      <c r="R15" s="12"/>
      <c r="S15" s="14"/>
    </row>
    <row r="16" spans="2:19" ht="21" hidden="1" customHeight="1" x14ac:dyDescent="0.35">
      <c r="B16" s="32"/>
      <c r="C16" s="15" t="s">
        <v>9</v>
      </c>
      <c r="D16" s="16">
        <f>+K16+P16</f>
        <v>0</v>
      </c>
      <c r="E16" s="16"/>
      <c r="F16" s="16"/>
      <c r="G16" s="16"/>
      <c r="H16" s="16"/>
      <c r="I16" s="16"/>
      <c r="J16" s="15" t="s">
        <v>9</v>
      </c>
      <c r="K16" s="16"/>
      <c r="L16" s="17"/>
      <c r="M16" s="17"/>
      <c r="N16" s="34"/>
      <c r="O16" s="15" t="s">
        <v>9</v>
      </c>
      <c r="P16" s="16"/>
      <c r="Q16" s="17"/>
      <c r="R16" s="16"/>
      <c r="S16" s="18"/>
    </row>
    <row r="17" spans="2:24" ht="21" hidden="1" customHeight="1" x14ac:dyDescent="0.35">
      <c r="B17" s="31" t="s">
        <v>7</v>
      </c>
      <c r="C17" s="11" t="s">
        <v>8</v>
      </c>
      <c r="D17" s="12">
        <f>+K17+P17</f>
        <v>0</v>
      </c>
      <c r="E17" s="12"/>
      <c r="F17" s="12"/>
      <c r="G17" s="12"/>
      <c r="H17" s="12" t="s">
        <v>12</v>
      </c>
      <c r="I17" s="12"/>
      <c r="J17" s="11" t="s">
        <v>8</v>
      </c>
      <c r="K17" s="12"/>
      <c r="L17" s="13"/>
      <c r="M17" s="13"/>
      <c r="N17" s="33" t="s">
        <v>14</v>
      </c>
      <c r="O17" s="11" t="s">
        <v>8</v>
      </c>
      <c r="P17" s="12"/>
      <c r="Q17" s="13"/>
      <c r="R17" s="12"/>
      <c r="S17" s="14"/>
    </row>
    <row r="18" spans="2:24" ht="21" hidden="1" customHeight="1" x14ac:dyDescent="0.35">
      <c r="B18" s="32"/>
      <c r="C18" s="15" t="s">
        <v>9</v>
      </c>
      <c r="D18" s="16">
        <f>+K18+P18</f>
        <v>0</v>
      </c>
      <c r="E18" s="16"/>
      <c r="F18" s="16"/>
      <c r="G18" s="16"/>
      <c r="H18" s="16"/>
      <c r="I18" s="16"/>
      <c r="J18" s="15" t="s">
        <v>9</v>
      </c>
      <c r="K18" s="16"/>
      <c r="L18" s="17"/>
      <c r="M18" s="17"/>
      <c r="N18" s="34"/>
      <c r="O18" s="15" t="s">
        <v>9</v>
      </c>
      <c r="P18" s="16"/>
      <c r="Q18" s="17"/>
      <c r="R18" s="16"/>
      <c r="S18" s="18"/>
    </row>
    <row r="19" spans="2:24" ht="17" customHeight="1" x14ac:dyDescent="0.4">
      <c r="B19" s="91" t="s">
        <v>158</v>
      </c>
      <c r="C19" s="63" t="s">
        <v>177</v>
      </c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3"/>
    </row>
    <row r="20" spans="2:24" ht="80.400000000000006" customHeight="1" x14ac:dyDescent="0.35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41" t="s">
        <v>131</v>
      </c>
      <c r="L20" s="47" t="s">
        <v>123</v>
      </c>
      <c r="M20" s="40" t="s">
        <v>134</v>
      </c>
      <c r="N20" s="41" t="s">
        <v>24</v>
      </c>
      <c r="O20" s="41" t="s">
        <v>130</v>
      </c>
      <c r="P20" s="40" t="s">
        <v>159</v>
      </c>
      <c r="Q20" s="40" t="s">
        <v>121</v>
      </c>
      <c r="R20" s="40" t="s">
        <v>4</v>
      </c>
      <c r="S20" s="41" t="s">
        <v>137</v>
      </c>
      <c r="U20" s="40" t="s">
        <v>109</v>
      </c>
      <c r="V20" s="41" t="s">
        <v>87</v>
      </c>
      <c r="W20" s="41" t="s">
        <v>128</v>
      </c>
      <c r="X20" s="41" t="s">
        <v>62</v>
      </c>
    </row>
    <row r="21" spans="2:24" ht="38" customHeight="1" x14ac:dyDescent="0.35">
      <c r="B21" s="4"/>
      <c r="C21" s="94" t="str">
        <f>+Datos!R2</f>
        <v>Ciclo Minero 10,0 x 7,2 m
Galería Inyección Principal</v>
      </c>
      <c r="D21" s="94" t="s">
        <v>59</v>
      </c>
      <c r="E21" s="4" t="s">
        <v>6</v>
      </c>
      <c r="F21" s="4" t="s">
        <v>165</v>
      </c>
      <c r="G21" s="4" t="s">
        <v>100</v>
      </c>
      <c r="H21" s="6">
        <v>0.39583333333333331</v>
      </c>
      <c r="I21" s="6">
        <v>0.41666666666666669</v>
      </c>
      <c r="J21" s="36">
        <f>I21-H21</f>
        <v>2.083333333333337E-2</v>
      </c>
      <c r="K21" s="7">
        <v>0</v>
      </c>
      <c r="L21" s="65"/>
      <c r="M21" s="66">
        <v>0</v>
      </c>
      <c r="N21" s="37">
        <v>0.8</v>
      </c>
      <c r="O21" s="37"/>
      <c r="P21" s="4"/>
      <c r="Q21" s="6"/>
      <c r="R21" s="6"/>
      <c r="S21" s="36">
        <f>+MOD(R21-Q21,1)</f>
        <v>0</v>
      </c>
      <c r="U21" s="45">
        <f>+IFERROR(VLOOKUP(D21,Datos!$R$3:$T$19,3,FALSE), "0")</f>
        <v>5.7045065601825425E-3</v>
      </c>
      <c r="V21" s="67" t="str">
        <f>IF(OR(D21="Perforación de Fortificación", D21="Perforación de Avance", D21="Perforación Desquinche"), K21*M21, "")</f>
        <v/>
      </c>
      <c r="W21" s="67" t="str">
        <f>IF(D21="Extracción de Marina Disparo",K21,"")</f>
        <v/>
      </c>
      <c r="X21" s="67" t="str">
        <f>IF(OR(D21="Shotcrete", D21="Pre Shotcrete"), K21, "")</f>
        <v/>
      </c>
    </row>
    <row r="22" spans="2:24" ht="38" customHeight="1" x14ac:dyDescent="0.35">
      <c r="B22" s="4"/>
      <c r="C22" s="94" t="str">
        <f>+C21</f>
        <v>Ciclo Minero 10,0 x 7,2 m
Galería Inyección Principal</v>
      </c>
      <c r="D22" s="94" t="s">
        <v>63</v>
      </c>
      <c r="E22" s="4" t="s">
        <v>6</v>
      </c>
      <c r="F22" s="4" t="s">
        <v>165</v>
      </c>
      <c r="G22" s="4" t="s">
        <v>65</v>
      </c>
      <c r="H22" s="6">
        <v>0.41666666666666669</v>
      </c>
      <c r="I22" s="6">
        <v>0.61111111111111116</v>
      </c>
      <c r="J22" s="36">
        <f>I22-H22</f>
        <v>0.19444444444444448</v>
      </c>
      <c r="K22" s="7">
        <v>73</v>
      </c>
      <c r="L22" s="65" t="s">
        <v>138</v>
      </c>
      <c r="M22" s="66">
        <v>3.8</v>
      </c>
      <c r="N22" s="37">
        <v>1</v>
      </c>
      <c r="O22" s="37"/>
      <c r="P22" s="4"/>
      <c r="Q22" s="6"/>
      <c r="R22" s="4"/>
      <c r="S22" s="36">
        <f t="shared" ref="S22:S26" si="0">+MOD(R22-Q22,1)</f>
        <v>0</v>
      </c>
      <c r="U22" s="45">
        <f>+IFERROR(VLOOKUP(D22,Datos!$R$3:$T$19,3,FALSE), "0")</f>
        <v>0.13519680547632629</v>
      </c>
      <c r="V22" s="67">
        <f t="shared" ref="V22:V26" si="1">IF(OR(D22="Perforación de Fortificación", D22="Perforación de Avance", D22="Perforación Desquinche"), K22*M22, "")</f>
        <v>277.39999999999998</v>
      </c>
      <c r="W22" s="67" t="str">
        <f t="shared" ref="W22:W26" si="2">IF(D22="Extracción de Marina Disparo",K22,"")</f>
        <v/>
      </c>
      <c r="X22" s="67" t="str">
        <f t="shared" ref="X22:X26" si="3">IF(OR(D22="Shotcrete", D22="Pre Shotcrete"), K22, "")</f>
        <v/>
      </c>
    </row>
    <row r="23" spans="2:24" ht="38" customHeight="1" x14ac:dyDescent="0.35">
      <c r="B23" s="4"/>
      <c r="C23" s="94" t="str">
        <f t="shared" ref="C23:C24" si="4">+C22</f>
        <v>Ciclo Minero 10,0 x 7,2 m
Galería Inyección Principal</v>
      </c>
      <c r="D23" s="94" t="s">
        <v>59</v>
      </c>
      <c r="E23" s="4" t="s">
        <v>6</v>
      </c>
      <c r="F23" s="4" t="s">
        <v>165</v>
      </c>
      <c r="G23" s="4" t="s">
        <v>100</v>
      </c>
      <c r="H23" s="6">
        <v>0.625</v>
      </c>
      <c r="I23" s="6">
        <v>0.64583333333333337</v>
      </c>
      <c r="J23" s="36">
        <f>I23-H23</f>
        <v>2.083333333333337E-2</v>
      </c>
      <c r="K23" s="7">
        <v>0</v>
      </c>
      <c r="L23" s="65"/>
      <c r="M23" s="66">
        <v>0</v>
      </c>
      <c r="N23" s="37">
        <v>0.2</v>
      </c>
      <c r="O23" s="37"/>
      <c r="P23" s="4"/>
      <c r="Q23" s="4"/>
      <c r="R23" s="4"/>
      <c r="S23" s="36">
        <f t="shared" si="0"/>
        <v>0</v>
      </c>
      <c r="U23" s="45">
        <f>+IFERROR(VLOOKUP(D23,Datos!$R$3:$T$19,3,FALSE), "0")</f>
        <v>5.7045065601825425E-3</v>
      </c>
      <c r="V23" s="67" t="str">
        <f t="shared" si="1"/>
        <v/>
      </c>
      <c r="W23" s="67" t="str">
        <f t="shared" si="2"/>
        <v/>
      </c>
      <c r="X23" s="67" t="str">
        <f t="shared" si="3"/>
        <v/>
      </c>
    </row>
    <row r="24" spans="2:24" ht="38" customHeight="1" x14ac:dyDescent="0.35">
      <c r="B24" s="4"/>
      <c r="C24" s="94" t="str">
        <f t="shared" si="4"/>
        <v>Ciclo Minero 10,0 x 7,2 m
Galería Inyección Principal</v>
      </c>
      <c r="D24" s="94" t="s">
        <v>55</v>
      </c>
      <c r="E24" s="4" t="s">
        <v>6</v>
      </c>
      <c r="F24" s="4" t="s">
        <v>165</v>
      </c>
      <c r="G24" s="4" t="s">
        <v>85</v>
      </c>
      <c r="H24" s="6">
        <v>0.66666666666666663</v>
      </c>
      <c r="I24" s="6">
        <v>0.6875</v>
      </c>
      <c r="J24" s="36">
        <f>I24-H24</f>
        <v>2.083333333333337E-2</v>
      </c>
      <c r="K24" s="7">
        <v>73</v>
      </c>
      <c r="L24" s="65" t="s">
        <v>138</v>
      </c>
      <c r="M24" s="66">
        <v>3.8</v>
      </c>
      <c r="N24" s="37">
        <v>1</v>
      </c>
      <c r="O24" s="37"/>
      <c r="P24" s="4"/>
      <c r="Q24" s="4"/>
      <c r="R24" s="4"/>
      <c r="S24" s="36">
        <f t="shared" si="0"/>
        <v>0</v>
      </c>
      <c r="U24" s="45" t="str">
        <f>+IFERROR(VLOOKUP(D24,Datos!$R$3:$T$19,3,FALSE), "0")</f>
        <v>0</v>
      </c>
      <c r="V24" s="67" t="str">
        <f t="shared" si="1"/>
        <v/>
      </c>
      <c r="W24" s="67" t="str">
        <f t="shared" si="2"/>
        <v/>
      </c>
      <c r="X24" s="67" t="str">
        <f t="shared" si="3"/>
        <v/>
      </c>
    </row>
    <row r="25" spans="2:24" ht="38" customHeight="1" x14ac:dyDescent="0.35">
      <c r="B25" s="4"/>
      <c r="C25" s="94"/>
      <c r="D25" s="94"/>
      <c r="E25" s="4"/>
      <c r="F25" s="4"/>
      <c r="G25" s="4"/>
      <c r="H25" s="6"/>
      <c r="I25" s="6"/>
      <c r="J25" s="36">
        <f>SUM(J21:J24)</f>
        <v>0.25694444444444459</v>
      </c>
      <c r="K25" s="7"/>
      <c r="L25" s="65"/>
      <c r="M25" s="66"/>
      <c r="N25" s="37"/>
      <c r="O25" s="37"/>
      <c r="P25" s="4"/>
      <c r="Q25" s="4"/>
      <c r="R25" s="4"/>
      <c r="S25" s="36">
        <f t="shared" si="0"/>
        <v>0</v>
      </c>
      <c r="U25" s="45" t="str">
        <f>+IFERROR(VLOOKUP(D25,Datos!$R$3:$T$19,3,FALSE), "0")</f>
        <v>0</v>
      </c>
      <c r="V25" s="67" t="str">
        <f t="shared" si="1"/>
        <v/>
      </c>
      <c r="W25" s="67" t="str">
        <f t="shared" si="2"/>
        <v/>
      </c>
      <c r="X25" s="67" t="str">
        <f t="shared" si="3"/>
        <v/>
      </c>
    </row>
    <row r="26" spans="2:24" ht="38" customHeight="1" x14ac:dyDescent="0.35">
      <c r="B26" s="4"/>
      <c r="C26" s="94"/>
      <c r="D26" s="94"/>
      <c r="E26" s="4"/>
      <c r="F26" s="4"/>
      <c r="G26" s="4"/>
      <c r="H26" s="6"/>
      <c r="I26" s="6"/>
      <c r="J26" s="36"/>
      <c r="K26" s="7"/>
      <c r="L26" s="65"/>
      <c r="M26" s="66"/>
      <c r="N26" s="37"/>
      <c r="O26" s="37"/>
      <c r="P26" s="4"/>
      <c r="Q26" s="4"/>
      <c r="R26" s="4"/>
      <c r="S26" s="36">
        <f t="shared" si="0"/>
        <v>0</v>
      </c>
      <c r="U26" s="45" t="str">
        <f>+IFERROR(VLOOKUP(D26,Datos!$R$3:$T$19,3,FALSE), "0")</f>
        <v>0</v>
      </c>
      <c r="V26" s="67" t="str">
        <f t="shared" si="1"/>
        <v/>
      </c>
      <c r="W26" s="67" t="str">
        <f t="shared" si="2"/>
        <v/>
      </c>
      <c r="X26" s="67" t="str">
        <f t="shared" si="3"/>
        <v/>
      </c>
    </row>
    <row r="27" spans="2:24" ht="17" x14ac:dyDescent="0.4">
      <c r="B27" s="90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41"/>
      <c r="L27" s="47"/>
      <c r="M27" s="40"/>
      <c r="N27" s="41"/>
      <c r="O27" s="41"/>
      <c r="P27" s="40"/>
      <c r="Q27" s="40"/>
      <c r="R27" s="40"/>
      <c r="S27" s="41"/>
      <c r="U27" s="40"/>
      <c r="V27" s="41"/>
      <c r="W27" s="41"/>
      <c r="X27" s="41"/>
    </row>
    <row r="28" spans="2:24" ht="72.5" x14ac:dyDescent="0.35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41" t="s">
        <v>131</v>
      </c>
      <c r="L28" s="47" t="s">
        <v>123</v>
      </c>
      <c r="M28" s="40" t="s">
        <v>134</v>
      </c>
      <c r="N28" s="41" t="s">
        <v>24</v>
      </c>
      <c r="O28" s="41" t="s">
        <v>130</v>
      </c>
      <c r="P28" s="40" t="s">
        <v>132</v>
      </c>
      <c r="Q28" s="40" t="s">
        <v>121</v>
      </c>
      <c r="R28" s="40" t="s">
        <v>4</v>
      </c>
      <c r="S28" s="41" t="s">
        <v>137</v>
      </c>
      <c r="U28" s="40" t="s">
        <v>109</v>
      </c>
      <c r="V28" s="41" t="s">
        <v>87</v>
      </c>
      <c r="W28" s="41" t="s">
        <v>128</v>
      </c>
      <c r="X28" s="41" t="s">
        <v>128</v>
      </c>
    </row>
    <row r="29" spans="2:24" ht="38" customHeight="1" x14ac:dyDescent="0.35">
      <c r="B29" s="4"/>
      <c r="C29" s="94" t="str">
        <f>+Datos!R23</f>
        <v>Ciclo Minero 5,2 x 5,6 m
Galería Acceso Portal de Servicio</v>
      </c>
      <c r="D29" s="94" t="s">
        <v>52</v>
      </c>
      <c r="E29" s="4" t="s">
        <v>6</v>
      </c>
      <c r="F29" s="4" t="s">
        <v>166</v>
      </c>
      <c r="G29" s="4" t="s">
        <v>86</v>
      </c>
      <c r="H29" s="6">
        <v>0.40625</v>
      </c>
      <c r="I29" s="6">
        <v>0.59722222222222221</v>
      </c>
      <c r="J29" s="36">
        <f>I29-H29</f>
        <v>0.19097222222222221</v>
      </c>
      <c r="K29" s="96">
        <f>14.43*3.5</f>
        <v>50.504999999999995</v>
      </c>
      <c r="L29" s="65" t="s">
        <v>126</v>
      </c>
      <c r="M29" s="66" t="s">
        <v>162</v>
      </c>
      <c r="N29" s="37">
        <v>1</v>
      </c>
      <c r="O29" s="95" t="s">
        <v>195</v>
      </c>
      <c r="P29" s="4"/>
      <c r="Q29" s="6"/>
      <c r="R29" s="6"/>
      <c r="S29" s="36">
        <f>+MOD(R29-Q29,1)</f>
        <v>0</v>
      </c>
      <c r="U29" s="45">
        <f>+IFERROR(VLOOKUP(D29,Datos!$R$24:$T$40,3,FALSE), "0")</f>
        <v>7.3313782991202336E-2</v>
      </c>
      <c r="V29" s="67" t="str">
        <f t="shared" ref="V29:V33" si="5">IF(OR(D29="Perforación de Fortificación", D29="Perforación de Avance", D29="Perforación Desquinche"), K29*M29, "")</f>
        <v/>
      </c>
      <c r="W29" s="67" t="str">
        <f>IF(D29="Extracción de Marina Disparo",K29,"")</f>
        <v/>
      </c>
      <c r="X29" s="67" t="str">
        <f t="shared" ref="X29:X33" si="6">IF(OR(D29="Shotcrete", D29="Pre Shotcrete"), K29, "")</f>
        <v/>
      </c>
    </row>
    <row r="30" spans="2:24" ht="38" customHeight="1" x14ac:dyDescent="0.35">
      <c r="B30" s="4"/>
      <c r="C30" s="94" t="str">
        <f>+C29</f>
        <v>Ciclo Minero 5,2 x 5,6 m
Galería Acceso Portal de Servicio</v>
      </c>
      <c r="D30" s="94" t="s">
        <v>61</v>
      </c>
      <c r="E30" s="4" t="s">
        <v>6</v>
      </c>
      <c r="F30" s="4" t="s">
        <v>166</v>
      </c>
      <c r="G30" s="4" t="s">
        <v>77</v>
      </c>
      <c r="H30" s="6">
        <v>0.5625</v>
      </c>
      <c r="I30" s="6">
        <v>0.60416666666666663</v>
      </c>
      <c r="J30" s="36">
        <f>I30-H30</f>
        <v>4.166666666666663E-2</v>
      </c>
      <c r="K30" s="7">
        <v>7</v>
      </c>
      <c r="L30" s="65" t="s">
        <v>127</v>
      </c>
      <c r="M30" s="66">
        <v>0</v>
      </c>
      <c r="N30" s="37">
        <v>1</v>
      </c>
      <c r="O30" s="37"/>
      <c r="P30" s="4"/>
      <c r="Q30" s="4"/>
      <c r="R30" s="4"/>
      <c r="S30" s="36">
        <f t="shared" ref="S30:S33" si="7">+MOD(R30-Q30,1)</f>
        <v>0</v>
      </c>
      <c r="U30" s="45">
        <f>+IFERROR(VLOOKUP(D30,Datos!$R$24:$T$40,3,FALSE), "0")</f>
        <v>0</v>
      </c>
      <c r="V30" s="67" t="str">
        <f t="shared" si="5"/>
        <v/>
      </c>
      <c r="W30" s="67" t="str">
        <f t="shared" ref="W30:W33" si="8">IF(D30="Extracción de Marina Disparo",K30,"")</f>
        <v/>
      </c>
      <c r="X30" s="67">
        <f t="shared" si="6"/>
        <v>7</v>
      </c>
    </row>
    <row r="31" spans="2:24" ht="38" customHeight="1" x14ac:dyDescent="0.35">
      <c r="B31" s="4"/>
      <c r="C31" s="94" t="str">
        <f t="shared" ref="C31:C32" si="9">+C30</f>
        <v>Ciclo Minero 5,2 x 5,6 m
Galería Acceso Portal de Servicio</v>
      </c>
      <c r="D31" s="94" t="s">
        <v>59</v>
      </c>
      <c r="E31" s="4" t="s">
        <v>6</v>
      </c>
      <c r="F31" s="4" t="s">
        <v>166</v>
      </c>
      <c r="G31" s="4" t="s">
        <v>100</v>
      </c>
      <c r="H31" s="6">
        <v>0.625</v>
      </c>
      <c r="I31" s="6">
        <v>0.64583333333333337</v>
      </c>
      <c r="J31" s="36">
        <f>I31-H31</f>
        <v>2.083333333333337E-2</v>
      </c>
      <c r="K31" s="7"/>
      <c r="L31" s="65"/>
      <c r="M31" s="66"/>
      <c r="N31" s="37">
        <v>1</v>
      </c>
      <c r="O31" s="37"/>
      <c r="P31" s="4"/>
      <c r="Q31" s="4"/>
      <c r="R31" s="4"/>
      <c r="S31" s="36">
        <f t="shared" si="7"/>
        <v>0</v>
      </c>
      <c r="U31" s="45">
        <f>+IFERROR(VLOOKUP(D31,Datos!$R$24:$T$40,3,FALSE), "0")</f>
        <v>9.7751710654936444E-3</v>
      </c>
      <c r="V31" s="67" t="str">
        <f t="shared" si="5"/>
        <v/>
      </c>
      <c r="W31" s="67" t="str">
        <f t="shared" si="8"/>
        <v/>
      </c>
      <c r="X31" s="67" t="str">
        <f t="shared" si="6"/>
        <v/>
      </c>
    </row>
    <row r="32" spans="2:24" ht="38" customHeight="1" x14ac:dyDescent="0.35">
      <c r="B32" s="4"/>
      <c r="C32" s="94" t="str">
        <f t="shared" si="9"/>
        <v>Ciclo Minero 5,2 x 5,6 m
Galería Acceso Portal de Servicio</v>
      </c>
      <c r="D32" s="94" t="s">
        <v>63</v>
      </c>
      <c r="E32" s="4" t="s">
        <v>6</v>
      </c>
      <c r="F32" s="4" t="s">
        <v>166</v>
      </c>
      <c r="G32" s="4" t="s">
        <v>65</v>
      </c>
      <c r="H32" s="6">
        <v>0.64583333333333337</v>
      </c>
      <c r="I32" s="6">
        <v>0.66666666666666663</v>
      </c>
      <c r="J32" s="36">
        <f>I32-H32</f>
        <v>2.0833333333333259E-2</v>
      </c>
      <c r="K32" s="7">
        <f>70*N32</f>
        <v>14</v>
      </c>
      <c r="L32" s="65" t="s">
        <v>129</v>
      </c>
      <c r="M32" s="66">
        <v>3.8</v>
      </c>
      <c r="N32" s="37">
        <v>0.2</v>
      </c>
      <c r="O32" s="37"/>
      <c r="P32" s="4"/>
      <c r="Q32" s="4"/>
      <c r="R32" s="4"/>
      <c r="S32" s="36">
        <f t="shared" si="7"/>
        <v>0</v>
      </c>
      <c r="U32" s="45">
        <f>+IFERROR(VLOOKUP(D32,Datos!$R$24:$T$40,3,FALSE), "0")</f>
        <v>0.12609970674486803</v>
      </c>
      <c r="V32" s="67">
        <f t="shared" si="5"/>
        <v>53.199999999999996</v>
      </c>
      <c r="W32" s="67" t="str">
        <f t="shared" si="8"/>
        <v/>
      </c>
      <c r="X32" s="67" t="str">
        <f t="shared" si="6"/>
        <v/>
      </c>
    </row>
    <row r="33" spans="2:24" ht="38" customHeight="1" x14ac:dyDescent="0.35">
      <c r="B33" s="4"/>
      <c r="C33" s="94"/>
      <c r="D33" s="94"/>
      <c r="E33" s="4"/>
      <c r="F33" s="4"/>
      <c r="G33" s="4"/>
      <c r="H33" s="6"/>
      <c r="I33" s="6"/>
      <c r="J33" s="36">
        <f>SUM(J29:J32)</f>
        <v>0.27430555555555547</v>
      </c>
      <c r="K33" s="7"/>
      <c r="L33" s="65"/>
      <c r="M33" s="66"/>
      <c r="N33" s="37"/>
      <c r="O33" s="37"/>
      <c r="P33" s="4"/>
      <c r="Q33" s="4"/>
      <c r="R33" s="4"/>
      <c r="S33" s="36">
        <f t="shared" si="7"/>
        <v>0</v>
      </c>
      <c r="U33" s="45" t="str">
        <f>+IFERROR(VLOOKUP(D33,Datos!$R$24:$T$40,3,FALSE), "0")</f>
        <v>0</v>
      </c>
      <c r="V33" s="67" t="str">
        <f t="shared" si="5"/>
        <v/>
      </c>
      <c r="W33" s="67" t="str">
        <f t="shared" si="8"/>
        <v/>
      </c>
      <c r="X33" s="67" t="str">
        <f t="shared" si="6"/>
        <v/>
      </c>
    </row>
    <row r="34" spans="2:24" ht="15.65" customHeight="1" thickBot="1" x14ac:dyDescent="0.4">
      <c r="B34" s="5"/>
      <c r="C34" s="5"/>
      <c r="D34" s="5"/>
      <c r="E34" s="5"/>
      <c r="F34" s="5"/>
      <c r="G34" s="5"/>
      <c r="H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2:24" ht="30" customHeight="1" thickBot="1" x14ac:dyDescent="0.4">
      <c r="B35" s="69"/>
      <c r="C35" s="404" t="s">
        <v>64</v>
      </c>
      <c r="D35" s="404"/>
      <c r="E35" s="70"/>
      <c r="F35" s="70"/>
      <c r="G35" s="424">
        <v>3700</v>
      </c>
      <c r="H35" s="425"/>
      <c r="I35" s="424">
        <v>3500</v>
      </c>
      <c r="J35" s="425"/>
      <c r="K35" s="5"/>
      <c r="L35" s="5"/>
      <c r="M35" s="5"/>
      <c r="N35" s="5"/>
      <c r="O35" s="5"/>
      <c r="P35" s="5"/>
      <c r="Q35" s="5"/>
      <c r="R35" s="5"/>
      <c r="S35" s="5"/>
    </row>
    <row r="36" spans="2:24" ht="30" customHeight="1" x14ac:dyDescent="0.35">
      <c r="C36" s="54" t="s">
        <v>48</v>
      </c>
      <c r="D36" s="55">
        <f>SUMPRODUCT((LEFT(F21:F33, 1)="C") / (COUNTIF(F21:F33, F21:F33 &amp; "") + (F21:F33="")))</f>
        <v>0</v>
      </c>
      <c r="E36" s="406" t="s">
        <v>90</v>
      </c>
      <c r="F36" s="406"/>
      <c r="G36" s="82">
        <v>0.27083333333333331</v>
      </c>
      <c r="H36" s="83" t="s">
        <v>23</v>
      </c>
      <c r="I36" s="82">
        <v>0.27083333333333331</v>
      </c>
      <c r="J36" s="83" t="s">
        <v>23</v>
      </c>
      <c r="K36" s="68"/>
      <c r="L36" s="5"/>
      <c r="M36" s="5"/>
      <c r="N36" s="5"/>
      <c r="O36" s="5"/>
      <c r="P36" s="5"/>
      <c r="Q36" s="5"/>
      <c r="R36" s="5"/>
      <c r="S36" s="5"/>
    </row>
    <row r="37" spans="2:24" x14ac:dyDescent="0.35">
      <c r="C37" s="54" t="s">
        <v>49</v>
      </c>
      <c r="D37" s="55">
        <f>SUMPRODUCT((LEFT(F21:F33, 1)="O") / (COUNTIF(F21:F33, F21:F33 &amp; "") + (F21:F33="")))</f>
        <v>0</v>
      </c>
      <c r="E37" s="405" t="s">
        <v>46</v>
      </c>
      <c r="F37" s="405"/>
      <c r="G37" s="84" t="e">
        <f>+SUM(SUMIF($F$21:$F$33, "C*", $J$21:$J$33))/SUMPRODUCT((LEFT(F21:F33, 1)="C") / (COUNTIF(F21:F33, F21:F33 &amp; "") + (F21:F33="")))</f>
        <v>#DIV/0!</v>
      </c>
      <c r="H37" s="85" t="e">
        <f>+G37*24/($G$36*24)</f>
        <v>#DIV/0!</v>
      </c>
      <c r="I37" s="84" t="e">
        <f>+SUM(SUMIF($F$21:$F$33, "C*", $J$21:$J$33))/SUMPRODUCT((LEFT(H21:H33, 1)="C") / (COUNTIF(H21:H33, H21:H33 &amp; "") + (H21:H33="")))</f>
        <v>#DIV/0!</v>
      </c>
      <c r="J37" s="85" t="e">
        <f>+I37*24/($G$36*24)</f>
        <v>#DIV/0!</v>
      </c>
      <c r="K37" s="68"/>
      <c r="L37" s="5"/>
      <c r="M37" s="5"/>
      <c r="N37" s="5"/>
      <c r="O37" s="5"/>
      <c r="P37" s="5"/>
      <c r="Q37" s="5"/>
      <c r="R37" s="5"/>
      <c r="S37" s="5"/>
    </row>
    <row r="38" spans="2:24" ht="41.4" customHeight="1" x14ac:dyDescent="0.35">
      <c r="E38" s="405" t="s">
        <v>47</v>
      </c>
      <c r="F38" s="405"/>
      <c r="G38" s="84">
        <f>+SUM(SUMIF($F$21:$F$33, "o*", $J$21:$J$33))</f>
        <v>0</v>
      </c>
      <c r="H38" s="85">
        <f>+G38*24/($G$36*24)</f>
        <v>0</v>
      </c>
      <c r="I38" s="84">
        <f>+SUM(SUMIF($F$21:$F$33, "o*", $J$21:$J$33))</f>
        <v>0</v>
      </c>
      <c r="J38" s="85">
        <f>+I38*24/($G$36*24)</f>
        <v>0</v>
      </c>
      <c r="K38" s="68"/>
      <c r="L38" s="5"/>
      <c r="M38" s="5"/>
      <c r="N38" s="5"/>
      <c r="O38" s="5"/>
      <c r="P38" s="5"/>
      <c r="Q38" s="5"/>
      <c r="R38" s="5"/>
      <c r="S38" s="5"/>
    </row>
    <row r="39" spans="2:24" ht="43.25" customHeight="1" thickBot="1" x14ac:dyDescent="0.4">
      <c r="E39" s="405" t="s">
        <v>94</v>
      </c>
      <c r="F39" s="405"/>
      <c r="G39" s="86"/>
      <c r="H39" s="87">
        <f>+AVERAGE(N21:N33)</f>
        <v>0.77500000000000002</v>
      </c>
      <c r="I39" s="86"/>
      <c r="J39" s="87" t="e">
        <f>+AVERAGE(P21:P33)</f>
        <v>#DIV/0!</v>
      </c>
    </row>
    <row r="40" spans="2:24" ht="43.25" customHeight="1" x14ac:dyDescent="0.35">
      <c r="E40" s="79"/>
      <c r="F40" s="79"/>
      <c r="G40" s="80"/>
      <c r="H40" s="81"/>
      <c r="I40" s="78"/>
      <c r="J40" s="78"/>
      <c r="K40" s="78"/>
      <c r="L40" s="78"/>
    </row>
    <row r="41" spans="2:24" ht="43.25" customHeight="1" x14ac:dyDescent="0.35">
      <c r="E41" s="54"/>
      <c r="F41" s="54"/>
      <c r="G41" s="57"/>
      <c r="H41" s="39"/>
      <c r="I41" s="407" t="s">
        <v>153</v>
      </c>
      <c r="J41" s="407"/>
      <c r="K41" s="407" t="s">
        <v>152</v>
      </c>
      <c r="L41" s="407"/>
      <c r="M41" s="407" t="s">
        <v>176</v>
      </c>
      <c r="N41" s="407"/>
      <c r="O41" s="345" t="s">
        <v>484</v>
      </c>
      <c r="P41" s="345" t="s">
        <v>485</v>
      </c>
    </row>
    <row r="42" spans="2:24" x14ac:dyDescent="0.35">
      <c r="E42" s="421" t="s">
        <v>174</v>
      </c>
      <c r="F42" s="421"/>
      <c r="G42" s="421"/>
      <c r="H42" s="46">
        <f>SUMPRODUCT(N29:N33 * U29:U33 * (N29:N33&lt;&gt;"") * (U29:U33&lt;&gt;""))</f>
        <v>0.10830889540566958</v>
      </c>
      <c r="I42" s="403">
        <f>+H42*$K$42*$M$42</f>
        <v>2.4447483870967739</v>
      </c>
      <c r="J42" s="403"/>
      <c r="K42" s="422">
        <v>6.6</v>
      </c>
      <c r="L42" s="422"/>
      <c r="M42">
        <v>3.42</v>
      </c>
      <c r="O42" s="344">
        <v>56.080975609756102</v>
      </c>
      <c r="P42" s="344">
        <f>+O42*M42*H42</f>
        <v>20.773314343752233</v>
      </c>
    </row>
    <row r="43" spans="2:24" ht="14.4" customHeight="1" x14ac:dyDescent="0.35">
      <c r="E43" s="421" t="s">
        <v>175</v>
      </c>
      <c r="F43" s="421"/>
      <c r="G43" s="421"/>
      <c r="H43" s="46">
        <f>+SUMPRODUCT(N21:N25 * U21:U25 * (N21:N25&lt;&gt;"") * (U21:U25&lt;&gt;""))</f>
        <v>0.14090131203650882</v>
      </c>
      <c r="I43" s="403">
        <f>+H43*$K$43*$M$43</f>
        <v>5.6862133485453503</v>
      </c>
      <c r="J43" s="403"/>
      <c r="K43" s="423">
        <v>11.8</v>
      </c>
      <c r="L43" s="423"/>
      <c r="M43">
        <v>3.42</v>
      </c>
      <c r="O43" s="344">
        <v>118.52055555555555</v>
      </c>
      <c r="P43" s="344">
        <f>+O43*M43*H43</f>
        <v>57.112980091272092</v>
      </c>
    </row>
    <row r="44" spans="2:24" ht="15" thickBot="1" x14ac:dyDescent="0.4">
      <c r="P44" s="352">
        <f>SUM(P41:P43)</f>
        <v>77.886294435024325</v>
      </c>
    </row>
    <row r="45" spans="2:24" ht="30" customHeight="1" thickBot="1" x14ac:dyDescent="0.4">
      <c r="B45" s="69"/>
      <c r="C45" s="404" t="s">
        <v>88</v>
      </c>
      <c r="D45" s="404"/>
      <c r="E45" s="70"/>
      <c r="F45" s="70"/>
      <c r="G45" s="70"/>
      <c r="H45" s="70"/>
      <c r="I45" s="71"/>
      <c r="J45" s="72"/>
      <c r="P45" s="321"/>
    </row>
    <row r="46" spans="2:24" ht="38" customHeight="1" x14ac:dyDescent="0.35">
      <c r="C46" s="58" t="s">
        <v>89</v>
      </c>
      <c r="D46" s="55">
        <f>SUMPRODUCT((LEFT(G21:G33, 5)="Jumbo") / (COUNTIF(G21:G33, G21:G33 &amp; "") + (G21:G33="")))</f>
        <v>1</v>
      </c>
      <c r="E46" s="406" t="s">
        <v>90</v>
      </c>
      <c r="F46" s="406"/>
      <c r="G46" s="56">
        <v>0.20833333333333334</v>
      </c>
      <c r="I46" s="3"/>
      <c r="J46" s="5"/>
    </row>
    <row r="47" spans="2:24" ht="38" customHeight="1" x14ac:dyDescent="0.35">
      <c r="E47" s="406" t="s">
        <v>93</v>
      </c>
      <c r="F47" s="406"/>
      <c r="G47" s="55">
        <f>15000/(60)</f>
        <v>250</v>
      </c>
      <c r="H47" s="60" t="s">
        <v>143</v>
      </c>
      <c r="I47" s="3"/>
      <c r="J47" s="5"/>
    </row>
    <row r="48" spans="2:24" ht="38" customHeight="1" x14ac:dyDescent="0.35">
      <c r="E48" s="405" t="s">
        <v>91</v>
      </c>
      <c r="F48" s="405"/>
      <c r="G48" s="57">
        <f>+SUM(SUMIF($G$21:$G$33, "Jumbo*", $J$21:$J$33))/SUMPRODUCT((LEFT(G21:G33, 5)="Jumbo") / (COUNTIF(G21:G33, G21:G33 &amp; "") + (G21:G33="")))</f>
        <v>0.21527777777777773</v>
      </c>
      <c r="H48" s="39">
        <f>+G48*24/($G$46*24)</f>
        <v>1.0333333333333332</v>
      </c>
      <c r="I48" s="5"/>
      <c r="J48" s="5"/>
    </row>
    <row r="49" spans="2:10" ht="38" customHeight="1" x14ac:dyDescent="0.35">
      <c r="E49" s="405" t="s">
        <v>92</v>
      </c>
      <c r="F49" s="405"/>
      <c r="G49" s="59">
        <f>+SUM(V21:V33)/D46</f>
        <v>330.59999999999997</v>
      </c>
      <c r="H49" s="39">
        <f>+G49/G47</f>
        <v>1.3223999999999998</v>
      </c>
      <c r="I49" s="5"/>
      <c r="J49" s="5"/>
    </row>
    <row r="50" spans="2:10" ht="38" customHeight="1" x14ac:dyDescent="0.35">
      <c r="G50" s="38" t="s">
        <v>87</v>
      </c>
      <c r="H50" s="3" t="s">
        <v>23</v>
      </c>
    </row>
    <row r="51" spans="2:10" ht="20" customHeight="1" x14ac:dyDescent="0.35">
      <c r="F51" s="53" t="s">
        <v>65</v>
      </c>
      <c r="G51" s="59">
        <f t="shared" ref="G51:G56" si="10" xml:space="preserve"> SUMIF($G$21:$G$33, +F51,$V$21:$V$33)</f>
        <v>330.59999999999997</v>
      </c>
      <c r="H51" s="39">
        <f t="shared" ref="H51:H56" si="11">+G51/$G$47</f>
        <v>1.3223999999999998</v>
      </c>
    </row>
    <row r="52" spans="2:10" ht="20" customHeight="1" x14ac:dyDescent="0.35">
      <c r="F52" s="53" t="s">
        <v>66</v>
      </c>
      <c r="G52" s="59">
        <f t="shared" si="10"/>
        <v>0</v>
      </c>
      <c r="H52" s="39">
        <f t="shared" si="11"/>
        <v>0</v>
      </c>
    </row>
    <row r="53" spans="2:10" ht="20" customHeight="1" x14ac:dyDescent="0.35">
      <c r="F53" s="53" t="s">
        <v>67</v>
      </c>
      <c r="G53" s="59">
        <f t="shared" si="10"/>
        <v>0</v>
      </c>
      <c r="H53" s="39">
        <f t="shared" si="11"/>
        <v>0</v>
      </c>
    </row>
    <row r="54" spans="2:10" ht="20" customHeight="1" x14ac:dyDescent="0.35">
      <c r="F54" s="53" t="s">
        <v>68</v>
      </c>
      <c r="G54" s="59">
        <f t="shared" si="10"/>
        <v>0</v>
      </c>
      <c r="H54" s="39">
        <f t="shared" si="11"/>
        <v>0</v>
      </c>
    </row>
    <row r="55" spans="2:10" ht="20" customHeight="1" x14ac:dyDescent="0.35">
      <c r="F55" s="53" t="s">
        <v>69</v>
      </c>
      <c r="G55" s="59">
        <f t="shared" si="10"/>
        <v>0</v>
      </c>
      <c r="H55" s="39">
        <f t="shared" si="11"/>
        <v>0</v>
      </c>
    </row>
    <row r="56" spans="2:10" ht="20" customHeight="1" x14ac:dyDescent="0.35">
      <c r="F56" s="53" t="s">
        <v>70</v>
      </c>
      <c r="G56" s="59">
        <f t="shared" si="10"/>
        <v>0</v>
      </c>
      <c r="H56" s="39">
        <f t="shared" si="11"/>
        <v>0</v>
      </c>
    </row>
    <row r="57" spans="2:10" ht="20" customHeight="1" x14ac:dyDescent="0.35">
      <c r="F57" s="53" t="s">
        <v>146</v>
      </c>
      <c r="G57" s="59">
        <f>+SUM(G51:G56)</f>
        <v>330.59999999999997</v>
      </c>
      <c r="H57" s="39">
        <f>+G57/($G$47*$D$46)</f>
        <v>1.3223999999999998</v>
      </c>
    </row>
    <row r="58" spans="2:10" ht="15" thickBot="1" x14ac:dyDescent="0.4"/>
    <row r="59" spans="2:10" ht="30" customHeight="1" thickBot="1" x14ac:dyDescent="0.4">
      <c r="B59" s="69"/>
      <c r="C59" s="404" t="s">
        <v>107</v>
      </c>
      <c r="D59" s="404"/>
      <c r="E59" s="70"/>
      <c r="F59" s="70"/>
      <c r="G59" s="70"/>
      <c r="H59" s="70"/>
      <c r="I59" s="71"/>
      <c r="J59" s="72"/>
    </row>
    <row r="60" spans="2:10" ht="38" customHeight="1" x14ac:dyDescent="0.35">
      <c r="C60" s="53" t="s">
        <v>95</v>
      </c>
      <c r="D60" s="55">
        <f>SUMPRODUCT((LEFT(G21:G33, 5)="Scoop") / (COUNTIF(G21:G33, G21:G33 &amp; "") + (G21:G33="")))</f>
        <v>0</v>
      </c>
      <c r="E60" s="406" t="s">
        <v>90</v>
      </c>
      <c r="F60" s="406"/>
      <c r="G60" s="56">
        <v>0.20833333333333334</v>
      </c>
      <c r="I60" s="3"/>
      <c r="J60" s="5"/>
    </row>
    <row r="61" spans="2:10" ht="38" customHeight="1" x14ac:dyDescent="0.35">
      <c r="C61" s="53" t="s">
        <v>145</v>
      </c>
      <c r="D61" s="55">
        <v>4.9000000000000004</v>
      </c>
      <c r="E61" s="406" t="s">
        <v>97</v>
      </c>
      <c r="F61" s="406"/>
      <c r="G61" s="55">
        <f>15000/(60)</f>
        <v>250</v>
      </c>
      <c r="H61" s="60" t="s">
        <v>23</v>
      </c>
      <c r="I61" s="3"/>
      <c r="J61" s="5"/>
    </row>
    <row r="62" spans="2:10" ht="38" customHeight="1" x14ac:dyDescent="0.35">
      <c r="E62" s="405" t="s">
        <v>98</v>
      </c>
      <c r="F62" s="405"/>
      <c r="G62" s="57" t="e">
        <f>+SUM(SUMIF($G$21:$G$33, "Scoop*", $J$21:$J$33))/SUMPRODUCT((LEFT(G21:G33, 5)="Scoop") / (COUNTIF(G21:G33, G21:G33 &amp; "") + (G21:G33="")))</f>
        <v>#DIV/0!</v>
      </c>
      <c r="H62" s="39" t="e">
        <f>+G62*24/($G$60*24)</f>
        <v>#DIV/0!</v>
      </c>
      <c r="I62" s="5"/>
      <c r="J62" s="5"/>
    </row>
    <row r="63" spans="2:10" ht="38" customHeight="1" x14ac:dyDescent="0.35">
      <c r="E63" s="405" t="s">
        <v>99</v>
      </c>
      <c r="F63" s="405"/>
      <c r="G63" s="59" t="e">
        <f>+SUM(W21:W33)*D61/D60</f>
        <v>#DIV/0!</v>
      </c>
      <c r="H63" s="39" t="e">
        <f>+G63/G61</f>
        <v>#DIV/0!</v>
      </c>
      <c r="I63" s="5"/>
      <c r="J63" s="5"/>
    </row>
    <row r="64" spans="2:10" ht="38" customHeight="1" x14ac:dyDescent="0.35">
      <c r="G64" s="38" t="s">
        <v>96</v>
      </c>
      <c r="H64" s="3" t="s">
        <v>23</v>
      </c>
    </row>
    <row r="65" spans="2:10" ht="20" customHeight="1" x14ac:dyDescent="0.35">
      <c r="F65" s="53" t="s">
        <v>71</v>
      </c>
      <c r="G65" s="59">
        <f t="shared" ref="G65:G70" si="12" xml:space="preserve"> SUMIF($G$21:$G$33, +F65,$W$21:$W$33)*$D$61</f>
        <v>0</v>
      </c>
      <c r="H65" s="39">
        <f>+G65/$G$61</f>
        <v>0</v>
      </c>
    </row>
    <row r="66" spans="2:10" ht="20" customHeight="1" x14ac:dyDescent="0.35">
      <c r="F66" s="53" t="s">
        <v>72</v>
      </c>
      <c r="G66" s="59">
        <f t="shared" si="12"/>
        <v>0</v>
      </c>
      <c r="H66" s="39">
        <f t="shared" ref="H66:H71" si="13">+G66/$G$61</f>
        <v>0</v>
      </c>
    </row>
    <row r="67" spans="2:10" ht="20" customHeight="1" x14ac:dyDescent="0.35">
      <c r="F67" s="53" t="s">
        <v>73</v>
      </c>
      <c r="G67" s="59">
        <f t="shared" si="12"/>
        <v>0</v>
      </c>
      <c r="H67" s="39">
        <f t="shared" si="13"/>
        <v>0</v>
      </c>
    </row>
    <row r="68" spans="2:10" ht="20" customHeight="1" x14ac:dyDescent="0.35">
      <c r="F68" s="53" t="s">
        <v>74</v>
      </c>
      <c r="G68" s="59">
        <f t="shared" si="12"/>
        <v>0</v>
      </c>
      <c r="H68" s="39">
        <f t="shared" si="13"/>
        <v>0</v>
      </c>
    </row>
    <row r="69" spans="2:10" ht="20" customHeight="1" x14ac:dyDescent="0.35">
      <c r="F69" s="53" t="s">
        <v>75</v>
      </c>
      <c r="G69" s="59">
        <f t="shared" si="12"/>
        <v>0</v>
      </c>
      <c r="H69" s="39">
        <f t="shared" si="13"/>
        <v>0</v>
      </c>
    </row>
    <row r="70" spans="2:10" ht="20" customHeight="1" x14ac:dyDescent="0.35">
      <c r="F70" s="53" t="s">
        <v>76</v>
      </c>
      <c r="G70" s="59">
        <f t="shared" si="12"/>
        <v>0</v>
      </c>
      <c r="H70" s="39">
        <f t="shared" si="13"/>
        <v>0</v>
      </c>
    </row>
    <row r="71" spans="2:10" ht="20" customHeight="1" x14ac:dyDescent="0.35">
      <c r="F71" s="53" t="s">
        <v>146</v>
      </c>
      <c r="G71" s="59">
        <f>+SUM(G65:G70)</f>
        <v>0</v>
      </c>
      <c r="H71" s="39">
        <f t="shared" si="13"/>
        <v>0</v>
      </c>
    </row>
    <row r="72" spans="2:10" ht="15" thickBot="1" x14ac:dyDescent="0.4"/>
    <row r="73" spans="2:10" ht="30" customHeight="1" thickBot="1" x14ac:dyDescent="0.4">
      <c r="B73" s="69"/>
      <c r="C73" s="404" t="s">
        <v>149</v>
      </c>
      <c r="D73" s="404"/>
      <c r="E73" s="70"/>
      <c r="F73" s="70"/>
      <c r="G73" s="70"/>
      <c r="H73" s="70"/>
      <c r="I73" s="71"/>
      <c r="J73" s="72"/>
    </row>
    <row r="74" spans="2:10" ht="25.25" customHeight="1" x14ac:dyDescent="0.35">
      <c r="C74" s="53" t="s">
        <v>150</v>
      </c>
      <c r="D74" s="55">
        <f>SUMPRODUCT((LEFT(G21:G33, 8)="Roboshot") / (COUNTIF(G21:G33, G21:G33 &amp; "") + (G21:G33="")))</f>
        <v>1</v>
      </c>
      <c r="E74" s="406" t="s">
        <v>90</v>
      </c>
      <c r="F74" s="406"/>
      <c r="G74" s="56">
        <v>0.20833333333333334</v>
      </c>
    </row>
    <row r="75" spans="2:10" x14ac:dyDescent="0.35">
      <c r="C75" s="53"/>
      <c r="D75" s="55"/>
      <c r="E75" s="406" t="s">
        <v>97</v>
      </c>
      <c r="F75" s="406"/>
      <c r="G75" s="55">
        <v>12</v>
      </c>
      <c r="H75" s="60" t="s">
        <v>23</v>
      </c>
    </row>
    <row r="77" spans="2:10" x14ac:dyDescent="0.35">
      <c r="G77" s="38" t="s">
        <v>96</v>
      </c>
      <c r="H77" s="3" t="s">
        <v>23</v>
      </c>
    </row>
    <row r="78" spans="2:10" x14ac:dyDescent="0.35">
      <c r="F78" s="53" t="s">
        <v>77</v>
      </c>
      <c r="G78" s="59">
        <f xml:space="preserve"> SUMIF($G$21:$G$33, +F78,$X$21:$X$33)</f>
        <v>7</v>
      </c>
      <c r="H78" s="39">
        <f>+G78/$G$75</f>
        <v>0.58333333333333337</v>
      </c>
    </row>
    <row r="79" spans="2:10" x14ac:dyDescent="0.35">
      <c r="F79" s="53" t="s">
        <v>78</v>
      </c>
      <c r="G79" s="59">
        <f xml:space="preserve"> SUMIF($G$21:$G$33, +F79,$X$21:$X$33)</f>
        <v>0</v>
      </c>
      <c r="H79" s="39">
        <f t="shared" ref="H79:H80" si="14">+G79/$G$75</f>
        <v>0</v>
      </c>
    </row>
    <row r="80" spans="2:10" x14ac:dyDescent="0.35">
      <c r="F80" s="53" t="s">
        <v>79</v>
      </c>
      <c r="G80" s="59">
        <f xml:space="preserve"> SUMIF($G$21:$G$33, +F80,$X$21:$X$33)</f>
        <v>0</v>
      </c>
      <c r="H80" s="39">
        <f t="shared" si="14"/>
        <v>0</v>
      </c>
    </row>
    <row r="81" spans="6:8" x14ac:dyDescent="0.35">
      <c r="F81" s="53" t="s">
        <v>146</v>
      </c>
      <c r="G81" s="59">
        <f>+SUM(G78:G80)</f>
        <v>7</v>
      </c>
      <c r="H81" s="39">
        <f>+G81/$G$75</f>
        <v>0.58333333333333337</v>
      </c>
    </row>
  </sheetData>
  <mergeCells count="40">
    <mergeCell ref="C35:D35"/>
    <mergeCell ref="G35:H35"/>
    <mergeCell ref="I35:J35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  <mergeCell ref="E36:F36"/>
    <mergeCell ref="E37:F37"/>
    <mergeCell ref="E38:F38"/>
    <mergeCell ref="E39:F39"/>
    <mergeCell ref="I41:J41"/>
    <mergeCell ref="M41:N41"/>
    <mergeCell ref="E42:G42"/>
    <mergeCell ref="I42:J42"/>
    <mergeCell ref="K42:L42"/>
    <mergeCell ref="E43:G43"/>
    <mergeCell ref="I43:J43"/>
    <mergeCell ref="K43:L43"/>
    <mergeCell ref="K41:L41"/>
    <mergeCell ref="C73:D73"/>
    <mergeCell ref="E74:F74"/>
    <mergeCell ref="C45:D45"/>
    <mergeCell ref="E46:F46"/>
    <mergeCell ref="E47:F47"/>
    <mergeCell ref="E48:F48"/>
    <mergeCell ref="E49:F49"/>
    <mergeCell ref="C59:D59"/>
    <mergeCell ref="E75:F75"/>
    <mergeCell ref="E60:F60"/>
    <mergeCell ref="E61:F61"/>
    <mergeCell ref="E62:F62"/>
    <mergeCell ref="E63:F63"/>
  </mergeCells>
  <conditionalFormatting sqref="H37:H41">
    <cfRule type="cellIs" dxfId="1217" priority="13" operator="greaterThan">
      <formula>0.9</formula>
    </cfRule>
    <cfRule type="cellIs" dxfId="1216" priority="14" operator="between">
      <formula>0.81</formula>
      <formula>0.89</formula>
    </cfRule>
    <cfRule type="cellIs" dxfId="1215" priority="15" operator="lessThan">
      <formula>0.8</formula>
    </cfRule>
  </conditionalFormatting>
  <conditionalFormatting sqref="H48:H49">
    <cfRule type="cellIs" dxfId="1214" priority="16" operator="greaterThan">
      <formula>0.9</formula>
    </cfRule>
    <cfRule type="cellIs" dxfId="1213" priority="17" operator="between">
      <formula>0.81</formula>
      <formula>0.89</formula>
    </cfRule>
    <cfRule type="cellIs" dxfId="1212" priority="18" operator="lessThan">
      <formula>0.8</formula>
    </cfRule>
  </conditionalFormatting>
  <conditionalFormatting sqref="H51:H57">
    <cfRule type="cellIs" dxfId="1211" priority="19" operator="greaterThan">
      <formula>0.9</formula>
    </cfRule>
    <cfRule type="cellIs" dxfId="1210" priority="20" operator="between">
      <formula>0.81</formula>
      <formula>0.89</formula>
    </cfRule>
    <cfRule type="cellIs" dxfId="1209" priority="21" operator="lessThan">
      <formula>0.8</formula>
    </cfRule>
  </conditionalFormatting>
  <conditionalFormatting sqref="H62:H63">
    <cfRule type="cellIs" dxfId="1208" priority="7" operator="greaterThan">
      <formula>0.9</formula>
    </cfRule>
    <cfRule type="cellIs" dxfId="1207" priority="8" operator="between">
      <formula>0.81</formula>
      <formula>0.89</formula>
    </cfRule>
    <cfRule type="cellIs" dxfId="1206" priority="9" operator="lessThan">
      <formula>0.8</formula>
    </cfRule>
  </conditionalFormatting>
  <conditionalFormatting sqref="H65:H71">
    <cfRule type="cellIs" dxfId="1205" priority="10" operator="greaterThan">
      <formula>0.9</formula>
    </cfRule>
    <cfRule type="cellIs" dxfId="1204" priority="11" operator="between">
      <formula>0.81</formula>
      <formula>0.89</formula>
    </cfRule>
    <cfRule type="cellIs" dxfId="1203" priority="12" operator="lessThan">
      <formula>0.8</formula>
    </cfRule>
  </conditionalFormatting>
  <conditionalFormatting sqref="H78:H81">
    <cfRule type="cellIs" dxfId="1202" priority="4" operator="greaterThan">
      <formula>0.9</formula>
    </cfRule>
    <cfRule type="cellIs" dxfId="1201" priority="5" operator="between">
      <formula>0.81</formula>
      <formula>0.89</formula>
    </cfRule>
    <cfRule type="cellIs" dxfId="1200" priority="6" operator="lessThan">
      <formula>0.8</formula>
    </cfRule>
  </conditionalFormatting>
  <conditionalFormatting sqref="J37:J39">
    <cfRule type="cellIs" dxfId="1199" priority="1" operator="greaterThan">
      <formula>0.9</formula>
    </cfRule>
    <cfRule type="cellIs" dxfId="1198" priority="2" operator="between">
      <formula>0.81</formula>
      <formula>0.89</formula>
    </cfRule>
    <cfRule type="cellIs" dxfId="1197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44B4398-686C-4AC0-9084-52351B69A663}">
          <x14:formula1>
            <xm:f>Datos!$B$3:$B$8</xm:f>
          </x14:formula1>
          <xm:sqref>E21:E26 E29:E33</xm:sqref>
        </x14:dataValidation>
        <x14:dataValidation type="list" allowBlank="1" showInputMessage="1" showErrorMessage="1" xr:uid="{87E5BA5D-8E5B-4C93-8484-27FB34663C11}">
          <x14:formula1>
            <xm:f>Datos!$D$3:$D$27</xm:f>
          </x14:formula1>
          <xm:sqref>F21:F26 F29:F33</xm:sqref>
        </x14:dataValidation>
        <x14:dataValidation type="list" allowBlank="1" showInputMessage="1" showErrorMessage="1" xr:uid="{020707A0-6113-40A1-89F5-C394F5A59281}">
          <x14:formula1>
            <xm:f>Datos!$W$3:$W$12</xm:f>
          </x14:formula1>
          <xm:sqref>L21:L26 L29:L33</xm:sqref>
        </x14:dataValidation>
        <x14:dataValidation type="list" allowBlank="1" showInputMessage="1" showErrorMessage="1" xr:uid="{F48728CB-36BB-4403-BD8E-EA85A8A379EE}">
          <x14:formula1>
            <xm:f>Datos!$F$3:$F$41</xm:f>
          </x14:formula1>
          <xm:sqref>G21:G26 G29:G33</xm:sqref>
        </x14:dataValidation>
        <x14:dataValidation type="list" allowBlank="1" showInputMessage="1" showErrorMessage="1" xr:uid="{46038D50-048C-4D8F-AA35-25031A2CA0E1}">
          <x14:formula1>
            <xm:f>Datos!$H$3:$H$26</xm:f>
          </x14:formula1>
          <xm:sqref>D21:D26 D29:D33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12BB-04DD-482D-9D77-3AAFB1B53DAF}">
  <sheetPr codeName="Hoja7">
    <pageSetUpPr fitToPage="1"/>
  </sheetPr>
  <dimension ref="B1:X81"/>
  <sheetViews>
    <sheetView showGridLines="0" topLeftCell="A19" zoomScale="70" zoomScaleNormal="70" zoomScaleSheetLayoutView="50" workbookViewId="0">
      <pane xSplit="3" ySplit="2" topLeftCell="E39" activePane="bottomRight" state="frozen"/>
      <selection activeCell="A19" sqref="A19"/>
      <selection pane="topRight" activeCell="D19" sqref="D19"/>
      <selection pane="bottomLeft" activeCell="A21" sqref="A21"/>
      <selection pane="bottomRight" activeCell="P44" sqref="P44"/>
    </sheetView>
  </sheetViews>
  <sheetFormatPr baseColWidth="10" defaultRowHeight="14.5" x14ac:dyDescent="0.35"/>
  <cols>
    <col min="1" max="1" width="2.81640625" customWidth="1"/>
    <col min="2" max="2" width="8.81640625" bestFit="1" customWidth="1"/>
    <col min="3" max="3" width="32.81640625" bestFit="1" customWidth="1"/>
    <col min="4" max="4" width="24.08984375" customWidth="1"/>
    <col min="5" max="5" width="13.36328125" bestFit="1" customWidth="1"/>
    <col min="6" max="6" width="19.453125" customWidth="1"/>
    <col min="7" max="7" width="15.81640625" customWidth="1"/>
    <col min="8" max="8" width="19.36328125" bestFit="1" customWidth="1"/>
    <col min="9" max="9" width="11.81640625" customWidth="1"/>
    <col min="10" max="10" width="17" customWidth="1"/>
    <col min="11" max="11" width="19.1796875" customWidth="1"/>
    <col min="12" max="12" width="22.453125" customWidth="1"/>
    <col min="13" max="13" width="19" customWidth="1"/>
    <col min="14" max="14" width="19.6328125" customWidth="1"/>
    <col min="15" max="15" width="55.90625" customWidth="1"/>
    <col min="16" max="16" width="25.453125" customWidth="1"/>
    <col min="17" max="17" width="12.6328125" customWidth="1"/>
    <col min="18" max="18" width="12.08984375" customWidth="1"/>
    <col min="19" max="19" width="19.54296875" customWidth="1"/>
    <col min="20" max="20" width="4" customWidth="1"/>
    <col min="21" max="21" width="20.54296875" customWidth="1"/>
    <col min="22" max="24" width="11.54296875" customWidth="1"/>
  </cols>
  <sheetData>
    <row r="1" spans="2:19" ht="24.5" hidden="1" customHeight="1" x14ac:dyDescent="0.35">
      <c r="B1" s="409"/>
      <c r="C1" s="410"/>
      <c r="D1" s="411"/>
      <c r="S1" s="1" t="s">
        <v>10</v>
      </c>
    </row>
    <row r="2" spans="2:19" ht="24.5" hidden="1" customHeight="1" x14ac:dyDescent="0.35">
      <c r="B2" s="412"/>
      <c r="C2" s="413"/>
      <c r="D2" s="414"/>
      <c r="E2" s="415" t="s">
        <v>0</v>
      </c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2"/>
    </row>
    <row r="3" spans="2:19" hidden="1" x14ac:dyDescent="0.35">
      <c r="B3" s="412"/>
      <c r="C3" s="413"/>
      <c r="D3" s="414"/>
      <c r="E3" s="415" t="s">
        <v>17</v>
      </c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6"/>
      <c r="S3" s="2" t="s">
        <v>1</v>
      </c>
    </row>
    <row r="4" spans="2:19" hidden="1" x14ac:dyDescent="0.35">
      <c r="B4" s="412"/>
      <c r="C4" s="413"/>
      <c r="D4" s="414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6"/>
      <c r="S4" s="19" t="s">
        <v>16</v>
      </c>
    </row>
    <row r="5" spans="2:19" ht="17" hidden="1" customHeight="1" x14ac:dyDescent="0.4">
      <c r="B5" s="20"/>
      <c r="C5" s="21"/>
      <c r="D5" s="22"/>
      <c r="E5" s="23"/>
      <c r="F5" s="23"/>
      <c r="G5" s="23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4"/>
    </row>
    <row r="6" spans="2:19" ht="17" hidden="1" customHeight="1" x14ac:dyDescent="0.4">
      <c r="B6" s="25"/>
      <c r="C6" s="61" t="s">
        <v>18</v>
      </c>
      <c r="D6" s="52"/>
      <c r="E6" s="10"/>
      <c r="F6" s="10"/>
      <c r="G6" s="10"/>
      <c r="H6" s="9"/>
      <c r="I6" s="9"/>
      <c r="J6" s="52"/>
      <c r="K6" s="420" t="s">
        <v>119</v>
      </c>
      <c r="L6" s="420"/>
      <c r="M6" s="48" t="e">
        <f>+G37</f>
        <v>#DIV/0!</v>
      </c>
      <c r="O6" s="9"/>
      <c r="P6" s="9"/>
      <c r="Q6" s="9"/>
      <c r="R6" s="9"/>
      <c r="S6" s="26"/>
    </row>
    <row r="7" spans="2:19" ht="17" hidden="1" customHeight="1" x14ac:dyDescent="0.4">
      <c r="B7" s="25"/>
      <c r="C7" s="52" t="s">
        <v>19</v>
      </c>
      <c r="D7" s="52"/>
      <c r="E7" s="10"/>
      <c r="F7" s="10"/>
      <c r="G7" s="10"/>
      <c r="H7" s="9"/>
      <c r="I7" s="9"/>
      <c r="J7" s="52"/>
      <c r="K7" s="420" t="s">
        <v>117</v>
      </c>
      <c r="L7" s="420"/>
      <c r="M7" s="49">
        <f>+H39</f>
        <v>0.9</v>
      </c>
      <c r="O7" s="9"/>
      <c r="P7" s="9"/>
      <c r="Q7" s="9"/>
      <c r="R7" s="9"/>
      <c r="S7" s="26"/>
    </row>
    <row r="8" spans="2:19" ht="17" hidden="1" customHeight="1" x14ac:dyDescent="0.4">
      <c r="B8" s="25"/>
      <c r="C8" s="52" t="s">
        <v>20</v>
      </c>
      <c r="D8" s="52"/>
      <c r="E8" s="10"/>
      <c r="F8" s="10"/>
      <c r="G8" s="10"/>
      <c r="H8" s="9"/>
      <c r="I8" s="9"/>
      <c r="J8" s="52" t="s">
        <v>115</v>
      </c>
      <c r="K8" s="420" t="s">
        <v>118</v>
      </c>
      <c r="L8" s="420"/>
      <c r="M8" s="50">
        <f>+G57</f>
        <v>212.79999999999998</v>
      </c>
      <c r="O8" s="9"/>
      <c r="P8" s="9"/>
      <c r="Q8" s="9"/>
      <c r="R8" s="9"/>
      <c r="S8" s="26"/>
    </row>
    <row r="9" spans="2:19" ht="17" hidden="1" customHeight="1" x14ac:dyDescent="0.4">
      <c r="B9" s="25"/>
      <c r="C9" s="52" t="s">
        <v>21</v>
      </c>
      <c r="D9" s="52"/>
      <c r="E9" s="10"/>
      <c r="F9" s="10"/>
      <c r="G9" s="10"/>
      <c r="H9" s="9"/>
      <c r="I9" s="9"/>
      <c r="J9" s="52" t="s">
        <v>116</v>
      </c>
      <c r="K9" s="420" t="s">
        <v>147</v>
      </c>
      <c r="L9" s="420"/>
      <c r="M9" s="50">
        <f>+G71</f>
        <v>279.3</v>
      </c>
      <c r="O9" s="9"/>
      <c r="P9" s="9"/>
      <c r="Q9" s="9"/>
      <c r="R9" s="9"/>
      <c r="S9" s="26"/>
    </row>
    <row r="10" spans="2:19" ht="17" hidden="1" customHeight="1" x14ac:dyDescent="0.4">
      <c r="B10" s="25"/>
      <c r="C10" s="52"/>
      <c r="D10" s="52"/>
      <c r="E10" s="10"/>
      <c r="F10" s="10"/>
      <c r="G10" s="10"/>
      <c r="H10" s="9"/>
      <c r="I10" s="9"/>
      <c r="J10" s="52"/>
      <c r="K10" s="420" t="s">
        <v>148</v>
      </c>
      <c r="L10" s="420"/>
      <c r="M10" s="50">
        <f>+G81</f>
        <v>0</v>
      </c>
      <c r="O10" s="9"/>
      <c r="P10" s="9"/>
      <c r="Q10" s="9"/>
      <c r="R10" s="9"/>
      <c r="S10" s="26"/>
    </row>
    <row r="11" spans="2:19" ht="17" hidden="1" customHeight="1" x14ac:dyDescent="0.4">
      <c r="B11" s="25"/>
      <c r="C11" s="61"/>
      <c r="D11" s="52"/>
      <c r="E11" s="10"/>
      <c r="F11" s="10"/>
      <c r="G11" s="10"/>
      <c r="H11" s="9"/>
      <c r="I11" s="9"/>
      <c r="J11" s="52"/>
      <c r="K11" s="420" t="s">
        <v>120</v>
      </c>
      <c r="L11" s="420"/>
      <c r="M11" s="51" t="e">
        <f>+#REF!</f>
        <v>#REF!</v>
      </c>
      <c r="O11" s="9"/>
      <c r="P11" s="9"/>
      <c r="Q11" s="9"/>
      <c r="R11" s="9"/>
      <c r="S11" s="26"/>
    </row>
    <row r="12" spans="2:19" ht="17" hidden="1" customHeight="1" x14ac:dyDescent="0.4">
      <c r="B12" s="25"/>
      <c r="C12" s="52"/>
      <c r="D12" s="52"/>
      <c r="E12" s="10"/>
      <c r="F12" s="10"/>
      <c r="G12" s="10"/>
      <c r="H12" s="9"/>
      <c r="I12" s="9"/>
      <c r="J12" s="52"/>
      <c r="K12" s="420" t="s">
        <v>133</v>
      </c>
      <c r="L12" s="420"/>
      <c r="M12" s="62">
        <f>+D15+D16+D17+D18</f>
        <v>0</v>
      </c>
      <c r="O12" s="9"/>
      <c r="P12" s="9"/>
      <c r="Q12" s="9"/>
      <c r="R12" s="9"/>
      <c r="S12" s="26"/>
    </row>
    <row r="13" spans="2:19" ht="17" hidden="1" customHeight="1" x14ac:dyDescent="0.4">
      <c r="B13" s="27"/>
      <c r="C13" s="17"/>
      <c r="D13" s="28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30"/>
    </row>
    <row r="14" spans="2:19" ht="17" hidden="1" customHeight="1" x14ac:dyDescent="0.4">
      <c r="B14" s="426" t="s">
        <v>15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8"/>
    </row>
    <row r="15" spans="2:19" ht="21" hidden="1" customHeight="1" x14ac:dyDescent="0.35">
      <c r="B15" s="31" t="s">
        <v>6</v>
      </c>
      <c r="C15" s="11" t="s">
        <v>8</v>
      </c>
      <c r="D15" s="12">
        <f>+K15+P15</f>
        <v>0</v>
      </c>
      <c r="E15" s="12"/>
      <c r="F15" s="12"/>
      <c r="G15" s="12"/>
      <c r="H15" s="12" t="s">
        <v>11</v>
      </c>
      <c r="I15" s="12"/>
      <c r="J15" s="11" t="s">
        <v>8</v>
      </c>
      <c r="K15" s="12"/>
      <c r="L15" s="13"/>
      <c r="M15" s="13"/>
      <c r="N15" s="33" t="s">
        <v>13</v>
      </c>
      <c r="O15" s="11" t="s">
        <v>8</v>
      </c>
      <c r="P15" s="12"/>
      <c r="Q15" s="13"/>
      <c r="R15" s="12"/>
      <c r="S15" s="14"/>
    </row>
    <row r="16" spans="2:19" ht="21" hidden="1" customHeight="1" x14ac:dyDescent="0.35">
      <c r="B16" s="32"/>
      <c r="C16" s="15" t="s">
        <v>9</v>
      </c>
      <c r="D16" s="16">
        <f>+K16+P16</f>
        <v>0</v>
      </c>
      <c r="E16" s="16"/>
      <c r="F16" s="16"/>
      <c r="G16" s="16"/>
      <c r="H16" s="16"/>
      <c r="I16" s="16"/>
      <c r="J16" s="15" t="s">
        <v>9</v>
      </c>
      <c r="K16" s="16"/>
      <c r="L16" s="17"/>
      <c r="M16" s="17"/>
      <c r="N16" s="34"/>
      <c r="O16" s="15" t="s">
        <v>9</v>
      </c>
      <c r="P16" s="16"/>
      <c r="Q16" s="17"/>
      <c r="R16" s="16"/>
      <c r="S16" s="18"/>
    </row>
    <row r="17" spans="2:24" ht="21" hidden="1" customHeight="1" x14ac:dyDescent="0.35">
      <c r="B17" s="31" t="s">
        <v>7</v>
      </c>
      <c r="C17" s="11" t="s">
        <v>8</v>
      </c>
      <c r="D17" s="12">
        <f>+K17+P17</f>
        <v>0</v>
      </c>
      <c r="E17" s="12"/>
      <c r="F17" s="12"/>
      <c r="G17" s="12"/>
      <c r="H17" s="12" t="s">
        <v>12</v>
      </c>
      <c r="I17" s="12"/>
      <c r="J17" s="11" t="s">
        <v>8</v>
      </c>
      <c r="K17" s="12"/>
      <c r="L17" s="13"/>
      <c r="M17" s="13"/>
      <c r="N17" s="33" t="s">
        <v>14</v>
      </c>
      <c r="O17" s="11" t="s">
        <v>8</v>
      </c>
      <c r="P17" s="12"/>
      <c r="Q17" s="13"/>
      <c r="R17" s="12"/>
      <c r="S17" s="14"/>
    </row>
    <row r="18" spans="2:24" ht="21" hidden="1" customHeight="1" x14ac:dyDescent="0.35">
      <c r="B18" s="32"/>
      <c r="C18" s="15" t="s">
        <v>9</v>
      </c>
      <c r="D18" s="16">
        <f>+K18+P18</f>
        <v>0</v>
      </c>
      <c r="E18" s="16"/>
      <c r="F18" s="16"/>
      <c r="G18" s="16"/>
      <c r="H18" s="16"/>
      <c r="I18" s="16"/>
      <c r="J18" s="15" t="s">
        <v>9</v>
      </c>
      <c r="K18" s="16"/>
      <c r="L18" s="17"/>
      <c r="M18" s="17"/>
      <c r="N18" s="34"/>
      <c r="O18" s="15" t="s">
        <v>9</v>
      </c>
      <c r="P18" s="16"/>
      <c r="Q18" s="17"/>
      <c r="R18" s="16"/>
      <c r="S18" s="18"/>
    </row>
    <row r="19" spans="2:24" ht="17" customHeight="1" x14ac:dyDescent="0.4">
      <c r="B19" s="91" t="s">
        <v>158</v>
      </c>
      <c r="C19" s="63" t="s">
        <v>177</v>
      </c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3"/>
    </row>
    <row r="20" spans="2:24" ht="80.400000000000006" customHeight="1" x14ac:dyDescent="0.35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41" t="s">
        <v>131</v>
      </c>
      <c r="L20" s="47" t="s">
        <v>123</v>
      </c>
      <c r="M20" s="40" t="s">
        <v>134</v>
      </c>
      <c r="N20" s="41" t="s">
        <v>24</v>
      </c>
      <c r="O20" s="41" t="s">
        <v>130</v>
      </c>
      <c r="P20" s="40" t="s">
        <v>159</v>
      </c>
      <c r="Q20" s="40" t="s">
        <v>121</v>
      </c>
      <c r="R20" s="40" t="s">
        <v>4</v>
      </c>
      <c r="S20" s="41" t="s">
        <v>137</v>
      </c>
      <c r="U20" s="40" t="s">
        <v>109</v>
      </c>
      <c r="V20" s="41" t="s">
        <v>87</v>
      </c>
      <c r="W20" s="41" t="s">
        <v>128</v>
      </c>
      <c r="X20" s="41" t="s">
        <v>62</v>
      </c>
    </row>
    <row r="21" spans="2:24" ht="38" customHeight="1" x14ac:dyDescent="0.35">
      <c r="B21" s="4"/>
      <c r="C21" s="94" t="str">
        <f>+Datos!R2</f>
        <v>Ciclo Minero 10,0 x 7,2 m
Galería Inyección Principal</v>
      </c>
      <c r="D21" s="94" t="s">
        <v>104</v>
      </c>
      <c r="E21" s="4" t="s">
        <v>6</v>
      </c>
      <c r="F21" s="4" t="s">
        <v>165</v>
      </c>
      <c r="G21" s="4" t="s">
        <v>71</v>
      </c>
      <c r="H21" s="6">
        <v>0.95833333333333337</v>
      </c>
      <c r="I21" s="6">
        <v>0.20833333333333334</v>
      </c>
      <c r="J21" s="36">
        <v>0.27083333333333331</v>
      </c>
      <c r="K21" s="7">
        <v>57</v>
      </c>
      <c r="L21" s="65" t="s">
        <v>128</v>
      </c>
      <c r="M21" s="66">
        <v>0</v>
      </c>
      <c r="N21" s="37">
        <v>1</v>
      </c>
      <c r="O21" s="37"/>
      <c r="P21" s="4"/>
      <c r="Q21" s="6"/>
      <c r="R21" s="6"/>
      <c r="S21" s="36">
        <f>+MOD(R21-Q21,1)</f>
        <v>0</v>
      </c>
      <c r="U21" s="45">
        <f>+IFERROR(VLOOKUP(D21,Datos!$R$3:$T$19,3,FALSE), "0")</f>
        <v>0.22475755847119222</v>
      </c>
      <c r="V21" s="67" t="str">
        <f>IF(OR(D21="Perforación de Fortificación", D21="Perforación de Avance", D21="Perforación Desquinche"), K21*M21, "")</f>
        <v/>
      </c>
      <c r="W21" s="67">
        <f>IF(D21="Extracción de Marina Disparo",K21,"")</f>
        <v>57</v>
      </c>
      <c r="X21" s="67" t="str">
        <f>IF(OR(D21="Shotcrete", D21="Pre Shotcrete"), K21, "")</f>
        <v/>
      </c>
    </row>
    <row r="22" spans="2:24" ht="38" customHeight="1" x14ac:dyDescent="0.35">
      <c r="B22" s="4"/>
      <c r="C22" s="94" t="str">
        <f>+C21</f>
        <v>Ciclo Minero 10,0 x 7,2 m
Galería Inyección Principal</v>
      </c>
      <c r="D22" s="94" t="s">
        <v>56</v>
      </c>
      <c r="E22" s="4" t="s">
        <v>6</v>
      </c>
      <c r="F22" s="4" t="s">
        <v>165</v>
      </c>
      <c r="G22" s="4" t="s">
        <v>80</v>
      </c>
      <c r="H22" s="6">
        <v>0.22916666666666666</v>
      </c>
      <c r="I22" s="6">
        <v>0.27083333333333331</v>
      </c>
      <c r="J22" s="36">
        <f>I22-H22</f>
        <v>4.1666666666666657E-2</v>
      </c>
      <c r="K22" s="7">
        <v>50</v>
      </c>
      <c r="L22" s="65" t="s">
        <v>126</v>
      </c>
      <c r="M22" s="66">
        <v>50</v>
      </c>
      <c r="N22" s="37">
        <v>0.8</v>
      </c>
      <c r="O22" s="37"/>
      <c r="P22" s="4"/>
      <c r="Q22" s="6"/>
      <c r="R22" s="4"/>
      <c r="S22" s="36">
        <f t="shared" ref="S22:S26" si="0">+MOD(R22-Q22,1)</f>
        <v>0</v>
      </c>
      <c r="U22" s="45">
        <f>+IFERROR(VLOOKUP(D22,Datos!$R$3:$T$19,3,FALSE), "0")</f>
        <v>4.2783799201369072E-2</v>
      </c>
      <c r="V22" s="67" t="str">
        <f t="shared" ref="V22:V26" si="1">IF(OR(D22="Perforación de Fortificación", D22="Perforación de Avance", D22="Perforación Desquinche"), K22*M22, "")</f>
        <v/>
      </c>
      <c r="W22" s="67" t="str">
        <f t="shared" ref="W22:W26" si="2">IF(D22="Extracción de Marina Disparo",K22,"")</f>
        <v/>
      </c>
      <c r="X22" s="67" t="str">
        <f t="shared" ref="X22:X26" si="3">IF(OR(D22="Shotcrete", D22="Pre Shotcrete"), K22, "")</f>
        <v/>
      </c>
    </row>
    <row r="23" spans="2:24" ht="38" customHeight="1" x14ac:dyDescent="0.35">
      <c r="B23" s="4"/>
      <c r="C23" s="94"/>
      <c r="D23" s="94"/>
      <c r="E23" s="4"/>
      <c r="F23" s="4"/>
      <c r="G23" s="4"/>
      <c r="H23" s="6"/>
      <c r="I23" s="6"/>
      <c r="J23" s="36">
        <f>SUM(J19:J22)</f>
        <v>0.3125</v>
      </c>
      <c r="K23" s="7"/>
      <c r="L23" s="65"/>
      <c r="M23" s="66"/>
      <c r="N23" s="37"/>
      <c r="O23" s="37"/>
      <c r="P23" s="4"/>
      <c r="Q23" s="4"/>
      <c r="R23" s="4"/>
      <c r="S23" s="36"/>
      <c r="U23" s="45" t="str">
        <f>+IFERROR(VLOOKUP(D23,Datos!$R$3:$T$19,3,FALSE), "0")</f>
        <v>0</v>
      </c>
      <c r="V23" s="67" t="str">
        <f t="shared" si="1"/>
        <v/>
      </c>
      <c r="W23" s="67" t="str">
        <f t="shared" si="2"/>
        <v/>
      </c>
      <c r="X23" s="67" t="str">
        <f t="shared" si="3"/>
        <v/>
      </c>
    </row>
    <row r="24" spans="2:24" ht="38" customHeight="1" x14ac:dyDescent="0.35">
      <c r="B24" s="4"/>
      <c r="C24" s="94"/>
      <c r="D24" s="94"/>
      <c r="E24" s="4"/>
      <c r="F24" s="4"/>
      <c r="G24" s="4"/>
      <c r="H24" s="6"/>
      <c r="I24" s="6"/>
      <c r="J24" s="36"/>
      <c r="K24" s="7"/>
      <c r="L24" s="65"/>
      <c r="M24" s="66"/>
      <c r="N24" s="37"/>
      <c r="O24" s="37"/>
      <c r="P24" s="4"/>
      <c r="Q24" s="4"/>
      <c r="R24" s="4"/>
      <c r="S24" s="36"/>
      <c r="U24" s="45" t="str">
        <f>+IFERROR(VLOOKUP(D24,Datos!$R$3:$T$19,3,FALSE), "0")</f>
        <v>0</v>
      </c>
      <c r="V24" s="67" t="str">
        <f t="shared" si="1"/>
        <v/>
      </c>
      <c r="W24" s="67" t="str">
        <f t="shared" si="2"/>
        <v/>
      </c>
      <c r="X24" s="67" t="str">
        <f t="shared" si="3"/>
        <v/>
      </c>
    </row>
    <row r="25" spans="2:24" ht="38" customHeight="1" x14ac:dyDescent="0.35">
      <c r="B25" s="4"/>
      <c r="C25" s="94"/>
      <c r="D25" s="94"/>
      <c r="E25" s="4"/>
      <c r="F25" s="4"/>
      <c r="G25" s="4"/>
      <c r="H25" s="6"/>
      <c r="I25" s="6"/>
      <c r="J25" s="36"/>
      <c r="K25" s="7"/>
      <c r="L25" s="65"/>
      <c r="M25" s="66"/>
      <c r="N25" s="37"/>
      <c r="O25" s="37"/>
      <c r="P25" s="4"/>
      <c r="Q25" s="4"/>
      <c r="R25" s="4"/>
      <c r="S25" s="36">
        <f t="shared" si="0"/>
        <v>0</v>
      </c>
      <c r="U25" s="45" t="str">
        <f>+IFERROR(VLOOKUP(D25,Datos!$R$3:$T$19,3,FALSE), "0")</f>
        <v>0</v>
      </c>
      <c r="V25" s="67" t="str">
        <f t="shared" si="1"/>
        <v/>
      </c>
      <c r="W25" s="67" t="str">
        <f t="shared" si="2"/>
        <v/>
      </c>
      <c r="X25" s="67" t="str">
        <f t="shared" si="3"/>
        <v/>
      </c>
    </row>
    <row r="26" spans="2:24" ht="38" customHeight="1" x14ac:dyDescent="0.35">
      <c r="B26" s="4"/>
      <c r="C26" s="94"/>
      <c r="D26" s="94"/>
      <c r="E26" s="4"/>
      <c r="F26" s="4"/>
      <c r="G26" s="4"/>
      <c r="H26" s="6"/>
      <c r="I26" s="6"/>
      <c r="J26" s="36"/>
      <c r="K26" s="7"/>
      <c r="L26" s="65"/>
      <c r="M26" s="66"/>
      <c r="N26" s="37"/>
      <c r="O26" s="37"/>
      <c r="P26" s="4"/>
      <c r="Q26" s="4"/>
      <c r="R26" s="4"/>
      <c r="S26" s="36">
        <f t="shared" si="0"/>
        <v>0</v>
      </c>
      <c r="U26" s="45" t="str">
        <f>+IFERROR(VLOOKUP(D26,Datos!$R$3:$T$19,3,FALSE), "0")</f>
        <v>0</v>
      </c>
      <c r="V26" s="67" t="str">
        <f t="shared" si="1"/>
        <v/>
      </c>
      <c r="W26" s="67" t="str">
        <f t="shared" si="2"/>
        <v/>
      </c>
      <c r="X26" s="67" t="str">
        <f t="shared" si="3"/>
        <v/>
      </c>
    </row>
    <row r="27" spans="2:24" ht="17" x14ac:dyDescent="0.4">
      <c r="B27" s="90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41"/>
      <c r="L27" s="47"/>
      <c r="M27" s="40"/>
      <c r="N27" s="41"/>
      <c r="O27" s="41"/>
      <c r="P27" s="40"/>
      <c r="Q27" s="40"/>
      <c r="R27" s="40"/>
      <c r="S27" s="41"/>
      <c r="U27" s="40"/>
      <c r="V27" s="41"/>
      <c r="W27" s="41"/>
      <c r="X27" s="41"/>
    </row>
    <row r="28" spans="2:24" ht="72.5" x14ac:dyDescent="0.35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41" t="s">
        <v>131</v>
      </c>
      <c r="L28" s="47" t="s">
        <v>123</v>
      </c>
      <c r="M28" s="40" t="s">
        <v>134</v>
      </c>
      <c r="N28" s="41" t="s">
        <v>24</v>
      </c>
      <c r="O28" s="41" t="s">
        <v>130</v>
      </c>
      <c r="P28" s="40" t="s">
        <v>132</v>
      </c>
      <c r="Q28" s="40" t="s">
        <v>121</v>
      </c>
      <c r="R28" s="40" t="s">
        <v>4</v>
      </c>
      <c r="S28" s="41" t="s">
        <v>137</v>
      </c>
      <c r="U28" s="40" t="s">
        <v>109</v>
      </c>
      <c r="V28" s="41" t="s">
        <v>87</v>
      </c>
      <c r="W28" s="41" t="s">
        <v>128</v>
      </c>
      <c r="X28" s="41" t="s">
        <v>128</v>
      </c>
    </row>
    <row r="29" spans="2:24" ht="38" customHeight="1" x14ac:dyDescent="0.35">
      <c r="B29" s="4"/>
      <c r="C29" s="94" t="str">
        <f>+Datos!R23</f>
        <v>Ciclo Minero 5,2 x 5,6 m
Galería Acceso Portal de Servicio</v>
      </c>
      <c r="D29" s="94" t="s">
        <v>63</v>
      </c>
      <c r="E29" s="4" t="s">
        <v>6</v>
      </c>
      <c r="F29" s="4" t="s">
        <v>166</v>
      </c>
      <c r="G29" s="4" t="s">
        <v>65</v>
      </c>
      <c r="H29" s="6">
        <v>0.9375</v>
      </c>
      <c r="I29" s="6">
        <v>0.11458333333333333</v>
      </c>
      <c r="J29" s="36">
        <v>0.17708333333333334</v>
      </c>
      <c r="K29" s="7">
        <f>70*N29</f>
        <v>56</v>
      </c>
      <c r="L29" s="65" t="s">
        <v>138</v>
      </c>
      <c r="M29" s="66">
        <v>3.8</v>
      </c>
      <c r="N29" s="37">
        <v>0.8</v>
      </c>
      <c r="O29" s="95"/>
      <c r="P29" s="4"/>
      <c r="Q29" s="6"/>
      <c r="R29" s="6"/>
      <c r="S29" s="36">
        <f>+MOD(R29-Q29,1)</f>
        <v>0</v>
      </c>
      <c r="U29" s="45">
        <f>+IFERROR(VLOOKUP(D29,Datos!$R$24:$T$40,3,FALSE), "0")</f>
        <v>0.12609970674486803</v>
      </c>
      <c r="V29" s="67">
        <f t="shared" ref="V29:V33" si="4">IF(OR(D29="Perforación de Fortificación", D29="Perforación de Avance", D29="Perforación Desquinche"), K29*M29, "")</f>
        <v>212.79999999999998</v>
      </c>
      <c r="W29" s="67" t="str">
        <f>IF(D29="Extracción de Marina Disparo",K29,"")</f>
        <v/>
      </c>
      <c r="X29" s="67" t="str">
        <f t="shared" ref="X29:X33" si="5">IF(OR(D29="Shotcrete", D29="Pre Shotcrete"), K29, "")</f>
        <v/>
      </c>
    </row>
    <row r="30" spans="2:24" ht="38" customHeight="1" x14ac:dyDescent="0.35">
      <c r="B30" s="4"/>
      <c r="C30" s="94" t="str">
        <f>+C29</f>
        <v>Ciclo Minero 5,2 x 5,6 m
Galería Acceso Portal de Servicio</v>
      </c>
      <c r="D30" s="94" t="s">
        <v>55</v>
      </c>
      <c r="E30" s="4" t="s">
        <v>6</v>
      </c>
      <c r="F30" s="4" t="s">
        <v>166</v>
      </c>
      <c r="G30" s="4" t="s">
        <v>86</v>
      </c>
      <c r="H30" s="6">
        <v>0.125</v>
      </c>
      <c r="I30" s="6">
        <v>0.27083333333333331</v>
      </c>
      <c r="J30" s="36">
        <f>I30-H30</f>
        <v>0.14583333333333331</v>
      </c>
      <c r="K30" s="7">
        <v>70</v>
      </c>
      <c r="L30" s="65" t="s">
        <v>138</v>
      </c>
      <c r="M30" s="66">
        <v>0</v>
      </c>
      <c r="N30" s="37">
        <v>1</v>
      </c>
      <c r="O30" s="37"/>
      <c r="P30" s="4"/>
      <c r="Q30" s="4"/>
      <c r="R30" s="4"/>
      <c r="S30" s="36">
        <f t="shared" ref="S30:S33" si="6">+MOD(R30-Q30,1)</f>
        <v>0</v>
      </c>
      <c r="U30" s="45" t="str">
        <f>+IFERROR(VLOOKUP(D30,Datos!$R$24:$T$40,3,FALSE), "0")</f>
        <v>0</v>
      </c>
      <c r="V30" s="67" t="str">
        <f t="shared" si="4"/>
        <v/>
      </c>
      <c r="W30" s="67" t="str">
        <f t="shared" ref="W30:W33" si="7">IF(D30="Extracción de Marina Disparo",K30,"")</f>
        <v/>
      </c>
      <c r="X30" s="67" t="str">
        <f t="shared" si="5"/>
        <v/>
      </c>
    </row>
    <row r="31" spans="2:24" ht="38" customHeight="1" x14ac:dyDescent="0.35">
      <c r="B31" s="4"/>
      <c r="C31" s="94"/>
      <c r="D31" s="94"/>
      <c r="E31" s="4"/>
      <c r="F31" s="4"/>
      <c r="G31" s="4"/>
      <c r="H31" s="6"/>
      <c r="I31" s="6"/>
      <c r="J31" s="36">
        <f>I31-H31</f>
        <v>0</v>
      </c>
      <c r="K31" s="7"/>
      <c r="L31" s="65"/>
      <c r="M31" s="66"/>
      <c r="N31" s="37"/>
      <c r="O31" s="37"/>
      <c r="P31" s="4"/>
      <c r="Q31" s="4"/>
      <c r="R31" s="4"/>
      <c r="S31" s="36">
        <f t="shared" si="6"/>
        <v>0</v>
      </c>
      <c r="U31" s="45" t="str">
        <f>+IFERROR(VLOOKUP(D31,Datos!$R$24:$T$40,3,FALSE), "0")</f>
        <v>0</v>
      </c>
      <c r="V31" s="67" t="str">
        <f t="shared" si="4"/>
        <v/>
      </c>
      <c r="W31" s="67" t="str">
        <f t="shared" si="7"/>
        <v/>
      </c>
      <c r="X31" s="67" t="str">
        <f t="shared" si="5"/>
        <v/>
      </c>
    </row>
    <row r="32" spans="2:24" ht="38" customHeight="1" x14ac:dyDescent="0.35">
      <c r="B32" s="4"/>
      <c r="C32" s="94"/>
      <c r="D32" s="94"/>
      <c r="E32" s="4"/>
      <c r="F32" s="4"/>
      <c r="G32" s="4"/>
      <c r="H32" s="6"/>
      <c r="I32" s="6"/>
      <c r="J32" s="36">
        <f>I32-H32</f>
        <v>0</v>
      </c>
      <c r="K32" s="7"/>
      <c r="L32" s="65"/>
      <c r="M32" s="66"/>
      <c r="N32" s="37"/>
      <c r="O32" s="37"/>
      <c r="P32" s="4"/>
      <c r="Q32" s="4"/>
      <c r="R32" s="4"/>
      <c r="S32" s="36">
        <f t="shared" si="6"/>
        <v>0</v>
      </c>
      <c r="U32" s="45" t="str">
        <f>+IFERROR(VLOOKUP(D32,Datos!$R$24:$T$40,3,FALSE), "0")</f>
        <v>0</v>
      </c>
      <c r="V32" s="67" t="str">
        <f t="shared" si="4"/>
        <v/>
      </c>
      <c r="W32" s="67" t="str">
        <f t="shared" si="7"/>
        <v/>
      </c>
      <c r="X32" s="67" t="str">
        <f t="shared" si="5"/>
        <v/>
      </c>
    </row>
    <row r="33" spans="2:24" ht="38" customHeight="1" x14ac:dyDescent="0.35">
      <c r="B33" s="4"/>
      <c r="C33" s="94"/>
      <c r="D33" s="94"/>
      <c r="E33" s="4"/>
      <c r="F33" s="4"/>
      <c r="G33" s="4"/>
      <c r="H33" s="6"/>
      <c r="I33" s="6"/>
      <c r="J33" s="36">
        <f>SUM(J29:J32)</f>
        <v>0.32291666666666663</v>
      </c>
      <c r="K33" s="7"/>
      <c r="L33" s="65"/>
      <c r="M33" s="66"/>
      <c r="N33" s="37"/>
      <c r="O33" s="37"/>
      <c r="P33" s="4"/>
      <c r="Q33" s="4"/>
      <c r="R33" s="4"/>
      <c r="S33" s="36">
        <f t="shared" si="6"/>
        <v>0</v>
      </c>
      <c r="U33" s="45" t="str">
        <f>+IFERROR(VLOOKUP(D33,Datos!$R$24:$T$40,3,FALSE), "0")</f>
        <v>0</v>
      </c>
      <c r="V33" s="67" t="str">
        <f t="shared" si="4"/>
        <v/>
      </c>
      <c r="W33" s="67" t="str">
        <f t="shared" si="7"/>
        <v/>
      </c>
      <c r="X33" s="67" t="str">
        <f t="shared" si="5"/>
        <v/>
      </c>
    </row>
    <row r="34" spans="2:24" ht="15.65" customHeight="1" thickBot="1" x14ac:dyDescent="0.4">
      <c r="B34" s="5"/>
      <c r="C34" s="5"/>
      <c r="D34" s="5"/>
      <c r="E34" s="5"/>
      <c r="F34" s="5"/>
      <c r="G34" s="5"/>
      <c r="H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2:24" ht="30" customHeight="1" thickBot="1" x14ac:dyDescent="0.4">
      <c r="B35" s="69"/>
      <c r="C35" s="404" t="s">
        <v>64</v>
      </c>
      <c r="D35" s="404"/>
      <c r="E35" s="70"/>
      <c r="F35" s="70"/>
      <c r="G35" s="424">
        <v>3700</v>
      </c>
      <c r="H35" s="425"/>
      <c r="I35" s="424">
        <v>3500</v>
      </c>
      <c r="J35" s="425"/>
      <c r="K35" s="5"/>
      <c r="L35" s="5"/>
      <c r="M35" s="5"/>
      <c r="N35" s="5"/>
      <c r="O35" s="5"/>
      <c r="P35" s="5"/>
      <c r="Q35" s="5"/>
      <c r="R35" s="5"/>
      <c r="S35" s="5"/>
    </row>
    <row r="36" spans="2:24" ht="30" customHeight="1" x14ac:dyDescent="0.35">
      <c r="C36" s="54" t="s">
        <v>48</v>
      </c>
      <c r="D36" s="55">
        <f>SUMPRODUCT((LEFT(F21:F33, 1)="C") / (COUNTIF(F21:F33, F21:F33 &amp; "") + (F21:F33="")))</f>
        <v>0</v>
      </c>
      <c r="E36" s="406" t="s">
        <v>90</v>
      </c>
      <c r="F36" s="406"/>
      <c r="G36" s="82">
        <v>0.27083333333333331</v>
      </c>
      <c r="H36" s="83" t="s">
        <v>23</v>
      </c>
      <c r="I36" s="82">
        <v>0.27083333333333331</v>
      </c>
      <c r="J36" s="83" t="s">
        <v>23</v>
      </c>
      <c r="K36" s="68"/>
      <c r="L36" s="5"/>
      <c r="M36" s="5"/>
      <c r="N36" s="5"/>
      <c r="O36" s="5"/>
      <c r="P36" s="5"/>
      <c r="Q36" s="5"/>
      <c r="R36" s="5"/>
      <c r="S36" s="5"/>
    </row>
    <row r="37" spans="2:24" x14ac:dyDescent="0.35">
      <c r="C37" s="54" t="s">
        <v>49</v>
      </c>
      <c r="D37" s="55">
        <f>SUMPRODUCT((LEFT(F21:F33, 1)="O") / (COUNTIF(F21:F33, F21:F33 &amp; "") + (F21:F33="")))</f>
        <v>0</v>
      </c>
      <c r="E37" s="405" t="s">
        <v>46</v>
      </c>
      <c r="F37" s="405"/>
      <c r="G37" s="84" t="e">
        <f>+SUM(SUMIF($F$21:$F$33, "C*", $J$21:$J$33))/SUMPRODUCT((LEFT(F21:F33, 1)="C") / (COUNTIF(F21:F33, F21:F33 &amp; "") + (F21:F33="")))</f>
        <v>#DIV/0!</v>
      </c>
      <c r="H37" s="85" t="e">
        <f>+G37*24/($G$36*24)</f>
        <v>#DIV/0!</v>
      </c>
      <c r="I37" s="84" t="e">
        <f>+SUM(SUMIF($F$21:$F$33, "C*", $J$21:$J$33))/SUMPRODUCT((LEFT(H21:H33, 1)="C") / (COUNTIF(H21:H33, H21:H33 &amp; "") + (H21:H33="")))</f>
        <v>#DIV/0!</v>
      </c>
      <c r="J37" s="85" t="e">
        <f>+I37*24/($G$36*24)</f>
        <v>#DIV/0!</v>
      </c>
      <c r="K37" s="68"/>
      <c r="L37" s="5"/>
      <c r="M37" s="5"/>
      <c r="N37" s="5"/>
      <c r="O37" s="5"/>
      <c r="P37" s="5"/>
      <c r="Q37" s="5"/>
      <c r="R37" s="5"/>
      <c r="S37" s="5"/>
    </row>
    <row r="38" spans="2:24" ht="41.4" customHeight="1" x14ac:dyDescent="0.35">
      <c r="E38" s="405" t="s">
        <v>47</v>
      </c>
      <c r="F38" s="405"/>
      <c r="G38" s="84">
        <f>+SUM(SUMIF($F$21:$F$33, "o*", $J$21:$J$33))</f>
        <v>0</v>
      </c>
      <c r="H38" s="85">
        <f>+G38*24/($G$36*24)</f>
        <v>0</v>
      </c>
      <c r="I38" s="84">
        <f>+SUM(SUMIF($F$21:$F$33, "o*", $J$21:$J$33))</f>
        <v>0</v>
      </c>
      <c r="J38" s="85">
        <f>+I38*24/($G$36*24)</f>
        <v>0</v>
      </c>
      <c r="K38" s="68"/>
      <c r="L38" s="5"/>
      <c r="M38" s="5"/>
      <c r="N38" s="5"/>
      <c r="O38" s="5"/>
      <c r="P38" s="5"/>
      <c r="Q38" s="5"/>
      <c r="R38" s="5"/>
      <c r="S38" s="5"/>
    </row>
    <row r="39" spans="2:24" ht="43.25" customHeight="1" thickBot="1" x14ac:dyDescent="0.4">
      <c r="E39" s="405" t="s">
        <v>94</v>
      </c>
      <c r="F39" s="405"/>
      <c r="G39" s="86"/>
      <c r="H39" s="87">
        <f>+AVERAGE(N21:N33)</f>
        <v>0.9</v>
      </c>
      <c r="I39" s="86"/>
      <c r="J39" s="87" t="e">
        <f>+AVERAGE(P21:P33)</f>
        <v>#DIV/0!</v>
      </c>
    </row>
    <row r="40" spans="2:24" ht="43.25" customHeight="1" x14ac:dyDescent="0.35">
      <c r="E40" s="79"/>
      <c r="F40" s="79"/>
      <c r="G40" s="80"/>
      <c r="H40" s="81"/>
      <c r="I40" s="78"/>
      <c r="J40" s="78"/>
      <c r="K40" s="78"/>
      <c r="L40" s="78"/>
    </row>
    <row r="41" spans="2:24" ht="43.25" customHeight="1" x14ac:dyDescent="0.35">
      <c r="E41" s="54"/>
      <c r="F41" s="54"/>
      <c r="G41" s="57"/>
      <c r="H41" s="39"/>
      <c r="I41" s="407" t="s">
        <v>153</v>
      </c>
      <c r="J41" s="407"/>
      <c r="K41" s="407" t="s">
        <v>152</v>
      </c>
      <c r="L41" s="407"/>
      <c r="M41" s="407" t="s">
        <v>176</v>
      </c>
      <c r="N41" s="407"/>
      <c r="O41" s="345" t="s">
        <v>484</v>
      </c>
      <c r="P41" s="345" t="s">
        <v>485</v>
      </c>
    </row>
    <row r="42" spans="2:24" x14ac:dyDescent="0.35">
      <c r="E42" s="421" t="s">
        <v>174</v>
      </c>
      <c r="F42" s="421"/>
      <c r="G42" s="421"/>
      <c r="H42" s="46">
        <f>SUMPRODUCT(N29:N33 * U29:U33 * (N29:N33&lt;&gt;"") * (U29:U33&lt;&gt;""))</f>
        <v>0.10087976539589444</v>
      </c>
      <c r="I42" s="403">
        <f>+H42*$K$42*$M$42</f>
        <v>2.2770580645161291</v>
      </c>
      <c r="J42" s="403"/>
      <c r="K42" s="422">
        <v>6.6</v>
      </c>
      <c r="L42" s="422"/>
      <c r="M42">
        <v>3.42</v>
      </c>
      <c r="O42" s="344">
        <v>56.080975609756102</v>
      </c>
      <c r="P42" s="344">
        <f>+O42*M42*H42</f>
        <v>19.348429966382952</v>
      </c>
    </row>
    <row r="43" spans="2:24" ht="14.4" customHeight="1" x14ac:dyDescent="0.35">
      <c r="E43" s="421" t="s">
        <v>175</v>
      </c>
      <c r="F43" s="421"/>
      <c r="G43" s="421"/>
      <c r="H43" s="46">
        <f>+SUMPRODUCT(N21:N25 * U21:U25 * (N21:N25&lt;&gt;"") * (U21:U25&lt;&gt;""))</f>
        <v>0.2589845978322875</v>
      </c>
      <c r="I43" s="403">
        <f>+H43*$K$43*$M$43</f>
        <v>10.451582430119794</v>
      </c>
      <c r="J43" s="403"/>
      <c r="K43" s="423">
        <v>11.8</v>
      </c>
      <c r="L43" s="423"/>
      <c r="M43">
        <v>3.42</v>
      </c>
      <c r="O43" s="344">
        <v>118.52055555555555</v>
      </c>
      <c r="P43" s="344">
        <f>+O43*M43*H43</f>
        <v>104.97689458071875</v>
      </c>
    </row>
    <row r="44" spans="2:24" ht="15" thickBot="1" x14ac:dyDescent="0.4">
      <c r="P44" s="352">
        <f>SUM(P41:P43)</f>
        <v>124.3253245471017</v>
      </c>
    </row>
    <row r="45" spans="2:24" ht="30" customHeight="1" thickBot="1" x14ac:dyDescent="0.4">
      <c r="B45" s="69"/>
      <c r="C45" s="404" t="s">
        <v>88</v>
      </c>
      <c r="D45" s="404"/>
      <c r="E45" s="70"/>
      <c r="F45" s="70"/>
      <c r="G45" s="70"/>
      <c r="H45" s="70"/>
      <c r="I45" s="71"/>
      <c r="J45" s="72"/>
    </row>
    <row r="46" spans="2:24" ht="38" customHeight="1" x14ac:dyDescent="0.35">
      <c r="C46" s="58" t="s">
        <v>89</v>
      </c>
      <c r="D46" s="55">
        <f>SUMPRODUCT((LEFT(G21:G33, 5)="Jumbo") / (COUNTIF(G21:G33, G21:G33 &amp; "") + (G21:G33="")))</f>
        <v>1</v>
      </c>
      <c r="E46" s="406" t="s">
        <v>90</v>
      </c>
      <c r="F46" s="406"/>
      <c r="G46" s="56">
        <v>0.20833333333333334</v>
      </c>
      <c r="I46" s="3"/>
      <c r="J46" s="5"/>
    </row>
    <row r="47" spans="2:24" ht="38" customHeight="1" x14ac:dyDescent="0.35">
      <c r="E47" s="406" t="s">
        <v>93</v>
      </c>
      <c r="F47" s="406"/>
      <c r="G47" s="55">
        <f>15000/(60)</f>
        <v>250</v>
      </c>
      <c r="H47" s="60" t="s">
        <v>143</v>
      </c>
      <c r="I47" s="3"/>
      <c r="J47" s="5"/>
    </row>
    <row r="48" spans="2:24" ht="38" customHeight="1" x14ac:dyDescent="0.35">
      <c r="E48" s="405" t="s">
        <v>91</v>
      </c>
      <c r="F48" s="405"/>
      <c r="G48" s="57">
        <f>+SUM(SUMIF($G$21:$G$33, "Jumbo*", $J$21:$J$33))/SUMPRODUCT((LEFT(G21:G33, 5)="Jumbo") / (COUNTIF(G21:G33, G21:G33 &amp; "") + (G21:G33="")))</f>
        <v>0.17708333333333334</v>
      </c>
      <c r="H48" s="39">
        <f>+G48*24/($G$46*24)</f>
        <v>0.85</v>
      </c>
      <c r="I48" s="5"/>
      <c r="J48" s="5"/>
    </row>
    <row r="49" spans="2:10" ht="38" customHeight="1" x14ac:dyDescent="0.35">
      <c r="E49" s="405" t="s">
        <v>92</v>
      </c>
      <c r="F49" s="405"/>
      <c r="G49" s="59">
        <f>+SUM(V21:V33)/D46</f>
        <v>212.79999999999998</v>
      </c>
      <c r="H49" s="39">
        <f>+G49/G47</f>
        <v>0.85119999999999996</v>
      </c>
      <c r="I49" s="5"/>
      <c r="J49" s="5"/>
    </row>
    <row r="50" spans="2:10" ht="38" customHeight="1" x14ac:dyDescent="0.35">
      <c r="G50" s="38" t="s">
        <v>87</v>
      </c>
      <c r="H50" s="3" t="s">
        <v>23</v>
      </c>
    </row>
    <row r="51" spans="2:10" ht="20" customHeight="1" x14ac:dyDescent="0.35">
      <c r="F51" s="53" t="s">
        <v>65</v>
      </c>
      <c r="G51" s="59">
        <f t="shared" ref="G51:G56" si="8" xml:space="preserve"> SUMIF($G$21:$G$33, +F51,$V$21:$V$33)</f>
        <v>212.79999999999998</v>
      </c>
      <c r="H51" s="39">
        <f t="shared" ref="H51:H56" si="9">+G51/$G$47</f>
        <v>0.85119999999999996</v>
      </c>
    </row>
    <row r="52" spans="2:10" ht="20" customHeight="1" x14ac:dyDescent="0.35">
      <c r="F52" s="53" t="s">
        <v>66</v>
      </c>
      <c r="G52" s="59">
        <f t="shared" si="8"/>
        <v>0</v>
      </c>
      <c r="H52" s="39">
        <f t="shared" si="9"/>
        <v>0</v>
      </c>
    </row>
    <row r="53" spans="2:10" ht="20" customHeight="1" x14ac:dyDescent="0.35">
      <c r="F53" s="53" t="s">
        <v>67</v>
      </c>
      <c r="G53" s="59">
        <f t="shared" si="8"/>
        <v>0</v>
      </c>
      <c r="H53" s="39">
        <f t="shared" si="9"/>
        <v>0</v>
      </c>
    </row>
    <row r="54" spans="2:10" ht="20" customHeight="1" x14ac:dyDescent="0.35">
      <c r="F54" s="53" t="s">
        <v>68</v>
      </c>
      <c r="G54" s="59">
        <f t="shared" si="8"/>
        <v>0</v>
      </c>
      <c r="H54" s="39">
        <f t="shared" si="9"/>
        <v>0</v>
      </c>
    </row>
    <row r="55" spans="2:10" ht="20" customHeight="1" x14ac:dyDescent="0.35">
      <c r="F55" s="53" t="s">
        <v>69</v>
      </c>
      <c r="G55" s="59">
        <f t="shared" si="8"/>
        <v>0</v>
      </c>
      <c r="H55" s="39">
        <f t="shared" si="9"/>
        <v>0</v>
      </c>
    </row>
    <row r="56" spans="2:10" ht="20" customHeight="1" x14ac:dyDescent="0.35">
      <c r="F56" s="53" t="s">
        <v>70</v>
      </c>
      <c r="G56" s="59">
        <f t="shared" si="8"/>
        <v>0</v>
      </c>
      <c r="H56" s="39">
        <f t="shared" si="9"/>
        <v>0</v>
      </c>
    </row>
    <row r="57" spans="2:10" ht="20" customHeight="1" x14ac:dyDescent="0.35">
      <c r="F57" s="53" t="s">
        <v>146</v>
      </c>
      <c r="G57" s="59">
        <f>+SUM(G51:G56)</f>
        <v>212.79999999999998</v>
      </c>
      <c r="H57" s="39">
        <f>+G57/($G$47*$D$46)</f>
        <v>0.85119999999999996</v>
      </c>
    </row>
    <row r="58" spans="2:10" ht="15" thickBot="1" x14ac:dyDescent="0.4"/>
    <row r="59" spans="2:10" ht="30" customHeight="1" thickBot="1" x14ac:dyDescent="0.4">
      <c r="B59" s="69"/>
      <c r="C59" s="404" t="s">
        <v>107</v>
      </c>
      <c r="D59" s="404"/>
      <c r="E59" s="70"/>
      <c r="F59" s="70"/>
      <c r="G59" s="70"/>
      <c r="H59" s="70"/>
      <c r="I59" s="71"/>
      <c r="J59" s="72"/>
    </row>
    <row r="60" spans="2:10" ht="38" customHeight="1" x14ac:dyDescent="0.35">
      <c r="C60" s="53" t="s">
        <v>95</v>
      </c>
      <c r="D60" s="55">
        <f>SUMPRODUCT((LEFT(G21:G33, 5)="Scoop") / (COUNTIF(G21:G33, G21:G33 &amp; "") + (G21:G33="")))</f>
        <v>1</v>
      </c>
      <c r="E60" s="406" t="s">
        <v>90</v>
      </c>
      <c r="F60" s="406"/>
      <c r="G60" s="56">
        <v>0.20833333333333334</v>
      </c>
      <c r="I60" s="3"/>
      <c r="J60" s="5"/>
    </row>
    <row r="61" spans="2:10" ht="38" customHeight="1" x14ac:dyDescent="0.35">
      <c r="C61" s="53" t="s">
        <v>145</v>
      </c>
      <c r="D61" s="55">
        <v>4.9000000000000004</v>
      </c>
      <c r="E61" s="406" t="s">
        <v>97</v>
      </c>
      <c r="F61" s="406"/>
      <c r="G61" s="55">
        <f>15000/(60)</f>
        <v>250</v>
      </c>
      <c r="H61" s="60" t="s">
        <v>23</v>
      </c>
      <c r="I61" s="3"/>
      <c r="J61" s="5"/>
    </row>
    <row r="62" spans="2:10" ht="38" customHeight="1" x14ac:dyDescent="0.35">
      <c r="E62" s="405" t="s">
        <v>98</v>
      </c>
      <c r="F62" s="405"/>
      <c r="G62" s="57">
        <f>+SUM(SUMIF($G$21:$G$33, "Scoop*", $J$21:$J$33))/SUMPRODUCT((LEFT(G21:G33, 5)="Scoop") / (COUNTIF(G21:G33, G21:G33 &amp; "") + (G21:G33="")))</f>
        <v>0.27083333333333331</v>
      </c>
      <c r="H62" s="39">
        <f>+G62*24/($G$60*24)</f>
        <v>1.3</v>
      </c>
      <c r="I62" s="5"/>
      <c r="J62" s="5"/>
    </row>
    <row r="63" spans="2:10" ht="38" customHeight="1" x14ac:dyDescent="0.35">
      <c r="E63" s="405" t="s">
        <v>99</v>
      </c>
      <c r="F63" s="405"/>
      <c r="G63" s="59">
        <f>+SUM(W21:W33)*D61/D60</f>
        <v>279.3</v>
      </c>
      <c r="H63" s="39">
        <f>+G63/G61</f>
        <v>1.1172</v>
      </c>
      <c r="I63" s="5"/>
      <c r="J63" s="5"/>
    </row>
    <row r="64" spans="2:10" ht="38" customHeight="1" x14ac:dyDescent="0.35">
      <c r="G64" s="38" t="s">
        <v>96</v>
      </c>
      <c r="H64" s="3" t="s">
        <v>23</v>
      </c>
    </row>
    <row r="65" spans="2:10" ht="20" customHeight="1" x14ac:dyDescent="0.35">
      <c r="F65" s="53" t="s">
        <v>71</v>
      </c>
      <c r="G65" s="59">
        <f t="shared" ref="G65:G70" si="10" xml:space="preserve"> SUMIF($G$21:$G$33, +F65,$W$21:$W$33)*$D$61</f>
        <v>279.3</v>
      </c>
      <c r="H65" s="39">
        <f>+G65/$G$61</f>
        <v>1.1172</v>
      </c>
    </row>
    <row r="66" spans="2:10" ht="20" customHeight="1" x14ac:dyDescent="0.35">
      <c r="F66" s="53" t="s">
        <v>72</v>
      </c>
      <c r="G66" s="59">
        <f t="shared" si="10"/>
        <v>0</v>
      </c>
      <c r="H66" s="39">
        <f t="shared" ref="H66:H71" si="11">+G66/$G$61</f>
        <v>0</v>
      </c>
    </row>
    <row r="67" spans="2:10" ht="20" customHeight="1" x14ac:dyDescent="0.35">
      <c r="F67" s="53" t="s">
        <v>73</v>
      </c>
      <c r="G67" s="59">
        <f t="shared" si="10"/>
        <v>0</v>
      </c>
      <c r="H67" s="39">
        <f t="shared" si="11"/>
        <v>0</v>
      </c>
    </row>
    <row r="68" spans="2:10" ht="20" customHeight="1" x14ac:dyDescent="0.35">
      <c r="F68" s="53" t="s">
        <v>74</v>
      </c>
      <c r="G68" s="59">
        <f t="shared" si="10"/>
        <v>0</v>
      </c>
      <c r="H68" s="39">
        <f t="shared" si="11"/>
        <v>0</v>
      </c>
    </row>
    <row r="69" spans="2:10" ht="20" customHeight="1" x14ac:dyDescent="0.35">
      <c r="F69" s="53" t="s">
        <v>75</v>
      </c>
      <c r="G69" s="59">
        <f t="shared" si="10"/>
        <v>0</v>
      </c>
      <c r="H69" s="39">
        <f t="shared" si="11"/>
        <v>0</v>
      </c>
    </row>
    <row r="70" spans="2:10" ht="20" customHeight="1" x14ac:dyDescent="0.35">
      <c r="F70" s="53" t="s">
        <v>76</v>
      </c>
      <c r="G70" s="59">
        <f t="shared" si="10"/>
        <v>0</v>
      </c>
      <c r="H70" s="39">
        <f t="shared" si="11"/>
        <v>0</v>
      </c>
    </row>
    <row r="71" spans="2:10" ht="20" customHeight="1" x14ac:dyDescent="0.35">
      <c r="F71" s="53" t="s">
        <v>146</v>
      </c>
      <c r="G71" s="59">
        <f>+SUM(G65:G70)</f>
        <v>279.3</v>
      </c>
      <c r="H71" s="39">
        <f t="shared" si="11"/>
        <v>1.1172</v>
      </c>
    </row>
    <row r="72" spans="2:10" ht="15" thickBot="1" x14ac:dyDescent="0.4"/>
    <row r="73" spans="2:10" ht="30" customHeight="1" thickBot="1" x14ac:dyDescent="0.4">
      <c r="B73" s="69"/>
      <c r="C73" s="404" t="s">
        <v>149</v>
      </c>
      <c r="D73" s="404"/>
      <c r="E73" s="70"/>
      <c r="F73" s="70"/>
      <c r="G73" s="70"/>
      <c r="H73" s="70"/>
      <c r="I73" s="71"/>
      <c r="J73" s="72"/>
    </row>
    <row r="74" spans="2:10" ht="25.25" customHeight="1" x14ac:dyDescent="0.35">
      <c r="C74" s="53" t="s">
        <v>150</v>
      </c>
      <c r="D74" s="55">
        <f>SUMPRODUCT((LEFT(G21:G33, 8)="Roboshot") / (COUNTIF(G21:G33, G21:G33 &amp; "") + (G21:G33="")))</f>
        <v>0</v>
      </c>
      <c r="E74" s="406" t="s">
        <v>90</v>
      </c>
      <c r="F74" s="406"/>
      <c r="G74" s="56">
        <v>0.20833333333333334</v>
      </c>
    </row>
    <row r="75" spans="2:10" x14ac:dyDescent="0.35">
      <c r="C75" s="53"/>
      <c r="D75" s="55"/>
      <c r="E75" s="406" t="s">
        <v>97</v>
      </c>
      <c r="F75" s="406"/>
      <c r="G75" s="55">
        <v>12</v>
      </c>
      <c r="H75" s="60" t="s">
        <v>23</v>
      </c>
    </row>
    <row r="77" spans="2:10" x14ac:dyDescent="0.35">
      <c r="G77" s="38" t="s">
        <v>96</v>
      </c>
      <c r="H77" s="3" t="s">
        <v>23</v>
      </c>
    </row>
    <row r="78" spans="2:10" x14ac:dyDescent="0.35">
      <c r="F78" s="53" t="s">
        <v>77</v>
      </c>
      <c r="G78" s="59">
        <f xml:space="preserve"> SUMIF($G$21:$G$33, +F78,$X$21:$X$33)</f>
        <v>0</v>
      </c>
      <c r="H78" s="39">
        <f>+G78/$G$75</f>
        <v>0</v>
      </c>
    </row>
    <row r="79" spans="2:10" x14ac:dyDescent="0.35">
      <c r="F79" s="53" t="s">
        <v>78</v>
      </c>
      <c r="G79" s="59">
        <f xml:space="preserve"> SUMIF($G$21:$G$33, +F79,$X$21:$X$33)</f>
        <v>0</v>
      </c>
      <c r="H79" s="39">
        <f t="shared" ref="H79:H80" si="12">+G79/$G$75</f>
        <v>0</v>
      </c>
    </row>
    <row r="80" spans="2:10" x14ac:dyDescent="0.35">
      <c r="F80" s="53" t="s">
        <v>79</v>
      </c>
      <c r="G80" s="59">
        <f xml:space="preserve"> SUMIF($G$21:$G$33, +F80,$X$21:$X$33)</f>
        <v>0</v>
      </c>
      <c r="H80" s="39">
        <f t="shared" si="12"/>
        <v>0</v>
      </c>
    </row>
    <row r="81" spans="6:8" x14ac:dyDescent="0.35">
      <c r="F81" s="53" t="s">
        <v>146</v>
      </c>
      <c r="G81" s="59">
        <f>+SUM(G78:G80)</f>
        <v>0</v>
      </c>
      <c r="H81" s="39">
        <f>+G81/$G$75</f>
        <v>0</v>
      </c>
    </row>
  </sheetData>
  <mergeCells count="40">
    <mergeCell ref="C35:D35"/>
    <mergeCell ref="G35:H35"/>
    <mergeCell ref="I35:J35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  <mergeCell ref="E36:F36"/>
    <mergeCell ref="E37:F37"/>
    <mergeCell ref="E38:F38"/>
    <mergeCell ref="E39:F39"/>
    <mergeCell ref="I41:J41"/>
    <mergeCell ref="M41:N41"/>
    <mergeCell ref="E42:G42"/>
    <mergeCell ref="I42:J42"/>
    <mergeCell ref="K42:L42"/>
    <mergeCell ref="E43:G43"/>
    <mergeCell ref="I43:J43"/>
    <mergeCell ref="K43:L43"/>
    <mergeCell ref="K41:L41"/>
    <mergeCell ref="C73:D73"/>
    <mergeCell ref="E74:F74"/>
    <mergeCell ref="C45:D45"/>
    <mergeCell ref="E46:F46"/>
    <mergeCell ref="E47:F47"/>
    <mergeCell ref="E48:F48"/>
    <mergeCell ref="E49:F49"/>
    <mergeCell ref="C59:D59"/>
    <mergeCell ref="E75:F75"/>
    <mergeCell ref="E60:F60"/>
    <mergeCell ref="E61:F61"/>
    <mergeCell ref="E62:F62"/>
    <mergeCell ref="E63:F63"/>
  </mergeCells>
  <conditionalFormatting sqref="H37:H41">
    <cfRule type="cellIs" dxfId="1196" priority="13" operator="greaterThan">
      <formula>0.9</formula>
    </cfRule>
    <cfRule type="cellIs" dxfId="1195" priority="14" operator="between">
      <formula>0.81</formula>
      <formula>0.89</formula>
    </cfRule>
    <cfRule type="cellIs" dxfId="1194" priority="15" operator="lessThan">
      <formula>0.8</formula>
    </cfRule>
  </conditionalFormatting>
  <conditionalFormatting sqref="H48:H49">
    <cfRule type="cellIs" dxfId="1193" priority="16" operator="greaterThan">
      <formula>0.9</formula>
    </cfRule>
    <cfRule type="cellIs" dxfId="1192" priority="17" operator="between">
      <formula>0.81</formula>
      <formula>0.89</formula>
    </cfRule>
    <cfRule type="cellIs" dxfId="1191" priority="18" operator="lessThan">
      <formula>0.8</formula>
    </cfRule>
  </conditionalFormatting>
  <conditionalFormatting sqref="H51:H57">
    <cfRule type="cellIs" dxfId="1190" priority="19" operator="greaterThan">
      <formula>0.9</formula>
    </cfRule>
    <cfRule type="cellIs" dxfId="1189" priority="20" operator="between">
      <formula>0.81</formula>
      <formula>0.89</formula>
    </cfRule>
    <cfRule type="cellIs" dxfId="1188" priority="21" operator="lessThan">
      <formula>0.8</formula>
    </cfRule>
  </conditionalFormatting>
  <conditionalFormatting sqref="H62:H63">
    <cfRule type="cellIs" dxfId="1187" priority="7" operator="greaterThan">
      <formula>0.9</formula>
    </cfRule>
    <cfRule type="cellIs" dxfId="1186" priority="8" operator="between">
      <formula>0.81</formula>
      <formula>0.89</formula>
    </cfRule>
    <cfRule type="cellIs" dxfId="1185" priority="9" operator="lessThan">
      <formula>0.8</formula>
    </cfRule>
  </conditionalFormatting>
  <conditionalFormatting sqref="H65:H71">
    <cfRule type="cellIs" dxfId="1184" priority="10" operator="greaterThan">
      <formula>0.9</formula>
    </cfRule>
    <cfRule type="cellIs" dxfId="1183" priority="11" operator="between">
      <formula>0.81</formula>
      <formula>0.89</formula>
    </cfRule>
    <cfRule type="cellIs" dxfId="1182" priority="12" operator="lessThan">
      <formula>0.8</formula>
    </cfRule>
  </conditionalFormatting>
  <conditionalFormatting sqref="H78:H81">
    <cfRule type="cellIs" dxfId="1181" priority="4" operator="greaterThan">
      <formula>0.9</formula>
    </cfRule>
    <cfRule type="cellIs" dxfId="1180" priority="5" operator="between">
      <formula>0.81</formula>
      <formula>0.89</formula>
    </cfRule>
    <cfRule type="cellIs" dxfId="1179" priority="6" operator="lessThan">
      <formula>0.8</formula>
    </cfRule>
  </conditionalFormatting>
  <conditionalFormatting sqref="J37:J39">
    <cfRule type="cellIs" dxfId="1178" priority="1" operator="greaterThan">
      <formula>0.9</formula>
    </cfRule>
    <cfRule type="cellIs" dxfId="1177" priority="2" operator="between">
      <formula>0.81</formula>
      <formula>0.89</formula>
    </cfRule>
    <cfRule type="cellIs" dxfId="1176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D7C61CF-8F38-457D-85BC-BE36A4F08735}">
          <x14:formula1>
            <xm:f>Datos!$F$3:$F$41</xm:f>
          </x14:formula1>
          <xm:sqref>G21:G26 G29:G33</xm:sqref>
        </x14:dataValidation>
        <x14:dataValidation type="list" allowBlank="1" showInputMessage="1" showErrorMessage="1" xr:uid="{E51C87BE-2D58-4193-9FA1-4FB8ED889825}">
          <x14:formula1>
            <xm:f>Datos!$W$3:$W$12</xm:f>
          </x14:formula1>
          <xm:sqref>L21:L26 L29:L33</xm:sqref>
        </x14:dataValidation>
        <x14:dataValidation type="list" allowBlank="1" showInputMessage="1" showErrorMessage="1" xr:uid="{1B69718B-F434-4BDC-BC91-21DFAE8F507E}">
          <x14:formula1>
            <xm:f>Datos!$D$3:$D$27</xm:f>
          </x14:formula1>
          <xm:sqref>F21:F26 F29:F33</xm:sqref>
        </x14:dataValidation>
        <x14:dataValidation type="list" allowBlank="1" showInputMessage="1" showErrorMessage="1" xr:uid="{FEA6684C-309F-4E79-8EA0-B7A2809BB6F2}">
          <x14:formula1>
            <xm:f>Datos!$B$3:$B$8</xm:f>
          </x14:formula1>
          <xm:sqref>E21:E26 E29:E33</xm:sqref>
        </x14:dataValidation>
        <x14:dataValidation type="list" allowBlank="1" showInputMessage="1" showErrorMessage="1" xr:uid="{94C0FD10-24E5-4FBB-9C58-499F7FE94CED}">
          <x14:formula1>
            <xm:f>Datos!$H$3:$H$26</xm:f>
          </x14:formula1>
          <xm:sqref>D21:D26 D29:D33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E48B-0069-4BE4-B64C-4D122823B46C}">
  <sheetPr>
    <pageSetUpPr fitToPage="1"/>
  </sheetPr>
  <dimension ref="B1:X83"/>
  <sheetViews>
    <sheetView showGridLines="0" topLeftCell="A19" zoomScale="85" zoomScaleNormal="85" zoomScaleSheetLayoutView="50" workbookViewId="0">
      <pane xSplit="3" ySplit="2" topLeftCell="D35" activePane="bottomRight" state="frozen"/>
      <selection activeCell="A19" sqref="A19"/>
      <selection pane="topRight" activeCell="D19" sqref="D19"/>
      <selection pane="bottomLeft" activeCell="A21" sqref="A21"/>
      <selection pane="bottomRight" activeCell="M45" sqref="M45"/>
    </sheetView>
  </sheetViews>
  <sheetFormatPr baseColWidth="10" defaultRowHeight="14.5" x14ac:dyDescent="0.35"/>
  <cols>
    <col min="1" max="1" width="2.81640625" customWidth="1"/>
    <col min="2" max="2" width="8.81640625" bestFit="1" customWidth="1"/>
    <col min="3" max="3" width="32.81640625" bestFit="1" customWidth="1"/>
    <col min="4" max="4" width="24.08984375" customWidth="1"/>
    <col min="5" max="5" width="13.36328125" bestFit="1" customWidth="1"/>
    <col min="6" max="6" width="19.453125" customWidth="1"/>
    <col min="7" max="7" width="21.81640625" customWidth="1"/>
    <col min="8" max="8" width="19.36328125" bestFit="1" customWidth="1"/>
    <col min="9" max="9" width="11.81640625" customWidth="1"/>
    <col min="10" max="10" width="20.6328125" customWidth="1"/>
    <col min="11" max="11" width="19.1796875" customWidth="1"/>
    <col min="12" max="12" width="22.453125" customWidth="1"/>
    <col min="13" max="13" width="19" customWidth="1"/>
    <col min="14" max="14" width="19.6328125" customWidth="1"/>
    <col min="15" max="15" width="55.90625" customWidth="1"/>
    <col min="16" max="16" width="25.453125" customWidth="1"/>
    <col min="17" max="17" width="12.6328125" customWidth="1"/>
    <col min="18" max="18" width="12.08984375" customWidth="1"/>
    <col min="19" max="19" width="19.54296875" customWidth="1"/>
    <col min="20" max="20" width="4" customWidth="1"/>
    <col min="21" max="21" width="20.54296875" customWidth="1"/>
    <col min="22" max="24" width="11.54296875" customWidth="1"/>
  </cols>
  <sheetData>
    <row r="1" spans="2:19" ht="24.5" hidden="1" customHeight="1" x14ac:dyDescent="0.35">
      <c r="B1" s="409"/>
      <c r="C1" s="410"/>
      <c r="D1" s="411"/>
      <c r="S1" s="1" t="s">
        <v>10</v>
      </c>
    </row>
    <row r="2" spans="2:19" ht="24.5" hidden="1" customHeight="1" x14ac:dyDescent="0.35">
      <c r="B2" s="412"/>
      <c r="C2" s="413"/>
      <c r="D2" s="414"/>
      <c r="E2" s="415" t="s">
        <v>0</v>
      </c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2"/>
    </row>
    <row r="3" spans="2:19" hidden="1" x14ac:dyDescent="0.35">
      <c r="B3" s="412"/>
      <c r="C3" s="413"/>
      <c r="D3" s="414"/>
      <c r="E3" s="415" t="s">
        <v>17</v>
      </c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6"/>
      <c r="S3" s="2" t="s">
        <v>1</v>
      </c>
    </row>
    <row r="4" spans="2:19" hidden="1" x14ac:dyDescent="0.35">
      <c r="B4" s="412"/>
      <c r="C4" s="413"/>
      <c r="D4" s="414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6"/>
      <c r="S4" s="19" t="s">
        <v>16</v>
      </c>
    </row>
    <row r="5" spans="2:19" ht="17" hidden="1" customHeight="1" x14ac:dyDescent="0.4">
      <c r="B5" s="20"/>
      <c r="C5" s="21"/>
      <c r="D5" s="22"/>
      <c r="E5" s="23"/>
      <c r="F5" s="23"/>
      <c r="G5" s="23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4"/>
    </row>
    <row r="6" spans="2:19" ht="17" hidden="1" customHeight="1" x14ac:dyDescent="0.4">
      <c r="B6" s="25"/>
      <c r="C6" s="61" t="s">
        <v>18</v>
      </c>
      <c r="D6" s="52"/>
      <c r="E6" s="10"/>
      <c r="F6" s="10"/>
      <c r="G6" s="10"/>
      <c r="H6" s="9"/>
      <c r="I6" s="9"/>
      <c r="J6" s="52"/>
      <c r="K6" s="420" t="s">
        <v>119</v>
      </c>
      <c r="L6" s="420"/>
      <c r="M6" s="48">
        <f>+G38</f>
        <v>0.64583333333333337</v>
      </c>
      <c r="O6" s="9"/>
      <c r="P6" s="9"/>
      <c r="Q6" s="9"/>
      <c r="R6" s="9"/>
      <c r="S6" s="26"/>
    </row>
    <row r="7" spans="2:19" ht="17" hidden="1" customHeight="1" x14ac:dyDescent="0.4">
      <c r="B7" s="25"/>
      <c r="C7" s="52" t="s">
        <v>19</v>
      </c>
      <c r="D7" s="52"/>
      <c r="E7" s="10"/>
      <c r="F7" s="10"/>
      <c r="G7" s="10"/>
      <c r="H7" s="9"/>
      <c r="I7" s="9"/>
      <c r="J7" s="52"/>
      <c r="K7" s="420" t="s">
        <v>117</v>
      </c>
      <c r="L7" s="420"/>
      <c r="M7" s="49">
        <f>+H39</f>
        <v>1</v>
      </c>
      <c r="O7" s="9"/>
      <c r="P7" s="9"/>
      <c r="Q7" s="9"/>
      <c r="R7" s="9"/>
      <c r="S7" s="26"/>
    </row>
    <row r="8" spans="2:19" ht="17" hidden="1" customHeight="1" x14ac:dyDescent="0.4">
      <c r="B8" s="25"/>
      <c r="C8" s="52" t="s">
        <v>20</v>
      </c>
      <c r="D8" s="52"/>
      <c r="E8" s="10"/>
      <c r="F8" s="10"/>
      <c r="G8" s="10"/>
      <c r="H8" s="9"/>
      <c r="I8" s="9"/>
      <c r="J8" s="52" t="s">
        <v>115</v>
      </c>
      <c r="K8" s="420" t="s">
        <v>118</v>
      </c>
      <c r="L8" s="420"/>
      <c r="M8" s="50">
        <f>+G59</f>
        <v>0</v>
      </c>
      <c r="O8" s="9"/>
      <c r="P8" s="9"/>
      <c r="Q8" s="9"/>
      <c r="R8" s="9"/>
      <c r="S8" s="26"/>
    </row>
    <row r="9" spans="2:19" ht="17" hidden="1" customHeight="1" x14ac:dyDescent="0.4">
      <c r="B9" s="25"/>
      <c r="C9" s="52" t="s">
        <v>21</v>
      </c>
      <c r="D9" s="52"/>
      <c r="E9" s="10"/>
      <c r="F9" s="10"/>
      <c r="G9" s="10"/>
      <c r="H9" s="9"/>
      <c r="I9" s="9"/>
      <c r="J9" s="52" t="s">
        <v>116</v>
      </c>
      <c r="K9" s="420" t="s">
        <v>147</v>
      </c>
      <c r="L9" s="420"/>
      <c r="M9" s="50">
        <f>+G73</f>
        <v>0</v>
      </c>
      <c r="O9" s="9"/>
      <c r="P9" s="9"/>
      <c r="Q9" s="9"/>
      <c r="R9" s="9"/>
      <c r="S9" s="26"/>
    </row>
    <row r="10" spans="2:19" ht="17" hidden="1" customHeight="1" x14ac:dyDescent="0.4">
      <c r="B10" s="25"/>
      <c r="C10" s="52"/>
      <c r="D10" s="52"/>
      <c r="E10" s="10"/>
      <c r="F10" s="10"/>
      <c r="G10" s="10"/>
      <c r="H10" s="9"/>
      <c r="I10" s="9"/>
      <c r="J10" s="52"/>
      <c r="K10" s="420" t="s">
        <v>148</v>
      </c>
      <c r="L10" s="420"/>
      <c r="M10" s="50">
        <f>+G83</f>
        <v>0</v>
      </c>
      <c r="O10" s="9"/>
      <c r="P10" s="9"/>
      <c r="Q10" s="9"/>
      <c r="R10" s="9"/>
      <c r="S10" s="26"/>
    </row>
    <row r="11" spans="2:19" ht="17" hidden="1" customHeight="1" x14ac:dyDescent="0.4">
      <c r="B11" s="25"/>
      <c r="C11" s="61"/>
      <c r="D11" s="52"/>
      <c r="E11" s="10"/>
      <c r="F11" s="10"/>
      <c r="G11" s="10"/>
      <c r="H11" s="9"/>
      <c r="I11" s="9"/>
      <c r="J11" s="52"/>
      <c r="K11" s="420" t="s">
        <v>120</v>
      </c>
      <c r="L11" s="420"/>
      <c r="M11" s="51" t="e">
        <f>+#REF!</f>
        <v>#REF!</v>
      </c>
      <c r="O11" s="9"/>
      <c r="P11" s="9"/>
      <c r="Q11" s="9"/>
      <c r="R11" s="9"/>
      <c r="S11" s="26"/>
    </row>
    <row r="12" spans="2:19" ht="17" hidden="1" customHeight="1" x14ac:dyDescent="0.4">
      <c r="B12" s="25"/>
      <c r="C12" s="52"/>
      <c r="D12" s="52"/>
      <c r="E12" s="10"/>
      <c r="F12" s="10"/>
      <c r="G12" s="10"/>
      <c r="H12" s="9"/>
      <c r="I12" s="9"/>
      <c r="J12" s="52"/>
      <c r="K12" s="420" t="s">
        <v>133</v>
      </c>
      <c r="L12" s="420"/>
      <c r="M12" s="62">
        <f>+D15+D16+D17+D18</f>
        <v>0</v>
      </c>
      <c r="O12" s="9"/>
      <c r="P12" s="9"/>
      <c r="Q12" s="9"/>
      <c r="R12" s="9"/>
      <c r="S12" s="26"/>
    </row>
    <row r="13" spans="2:19" ht="17" hidden="1" customHeight="1" x14ac:dyDescent="0.4">
      <c r="B13" s="27"/>
      <c r="C13" s="17"/>
      <c r="D13" s="28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30"/>
    </row>
    <row r="14" spans="2:19" ht="17" hidden="1" customHeight="1" x14ac:dyDescent="0.4">
      <c r="B14" s="426" t="s">
        <v>15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8"/>
    </row>
    <row r="15" spans="2:19" ht="21" hidden="1" customHeight="1" x14ac:dyDescent="0.35">
      <c r="B15" s="31" t="s">
        <v>6</v>
      </c>
      <c r="C15" s="11" t="s">
        <v>8</v>
      </c>
      <c r="D15" s="12">
        <f>+K15+P15</f>
        <v>0</v>
      </c>
      <c r="E15" s="12"/>
      <c r="F15" s="12"/>
      <c r="G15" s="12"/>
      <c r="H15" s="12" t="s">
        <v>11</v>
      </c>
      <c r="I15" s="12"/>
      <c r="J15" s="11" t="s">
        <v>8</v>
      </c>
      <c r="K15" s="12"/>
      <c r="L15" s="13"/>
      <c r="M15" s="13"/>
      <c r="N15" s="33" t="s">
        <v>13</v>
      </c>
      <c r="O15" s="11" t="s">
        <v>8</v>
      </c>
      <c r="P15" s="12"/>
      <c r="Q15" s="13"/>
      <c r="R15" s="12"/>
      <c r="S15" s="14"/>
    </row>
    <row r="16" spans="2:19" ht="21" hidden="1" customHeight="1" x14ac:dyDescent="0.35">
      <c r="B16" s="32"/>
      <c r="C16" s="15" t="s">
        <v>9</v>
      </c>
      <c r="D16" s="16">
        <f>+K16+P16</f>
        <v>0</v>
      </c>
      <c r="E16" s="16"/>
      <c r="F16" s="16"/>
      <c r="G16" s="16"/>
      <c r="H16" s="16"/>
      <c r="I16" s="16"/>
      <c r="J16" s="15" t="s">
        <v>9</v>
      </c>
      <c r="K16" s="16"/>
      <c r="L16" s="17"/>
      <c r="M16" s="17"/>
      <c r="N16" s="34"/>
      <c r="O16" s="15" t="s">
        <v>9</v>
      </c>
      <c r="P16" s="16"/>
      <c r="Q16" s="17"/>
      <c r="R16" s="16"/>
      <c r="S16" s="18"/>
    </row>
    <row r="17" spans="2:24" ht="21" hidden="1" customHeight="1" x14ac:dyDescent="0.35">
      <c r="B17" s="31" t="s">
        <v>7</v>
      </c>
      <c r="C17" s="11" t="s">
        <v>8</v>
      </c>
      <c r="D17" s="12">
        <f>+K17+P17</f>
        <v>0</v>
      </c>
      <c r="E17" s="12"/>
      <c r="F17" s="12"/>
      <c r="G17" s="12"/>
      <c r="H17" s="12" t="s">
        <v>12</v>
      </c>
      <c r="I17" s="12"/>
      <c r="J17" s="11" t="s">
        <v>8</v>
      </c>
      <c r="K17" s="12"/>
      <c r="L17" s="13"/>
      <c r="M17" s="13"/>
      <c r="N17" s="33" t="s">
        <v>14</v>
      </c>
      <c r="O17" s="11" t="s">
        <v>8</v>
      </c>
      <c r="P17" s="12"/>
      <c r="Q17" s="13"/>
      <c r="R17" s="12"/>
      <c r="S17" s="14"/>
    </row>
    <row r="18" spans="2:24" ht="21" hidden="1" customHeight="1" x14ac:dyDescent="0.35">
      <c r="B18" s="32"/>
      <c r="C18" s="15" t="s">
        <v>9</v>
      </c>
      <c r="D18" s="16">
        <f>+K18+P18</f>
        <v>0</v>
      </c>
      <c r="E18" s="16"/>
      <c r="F18" s="16"/>
      <c r="G18" s="16"/>
      <c r="H18" s="16"/>
      <c r="I18" s="16"/>
      <c r="J18" s="15" t="s">
        <v>9</v>
      </c>
      <c r="K18" s="16"/>
      <c r="L18" s="17"/>
      <c r="M18" s="17"/>
      <c r="N18" s="34"/>
      <c r="O18" s="15" t="s">
        <v>9</v>
      </c>
      <c r="P18" s="16"/>
      <c r="Q18" s="17"/>
      <c r="R18" s="16"/>
      <c r="S18" s="18"/>
    </row>
    <row r="19" spans="2:24" ht="17" customHeight="1" x14ac:dyDescent="0.4">
      <c r="B19" s="91" t="s">
        <v>158</v>
      </c>
      <c r="C19" s="63" t="s">
        <v>177</v>
      </c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3"/>
    </row>
    <row r="20" spans="2:24" ht="80.400000000000006" customHeight="1" x14ac:dyDescent="0.35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41" t="s">
        <v>131</v>
      </c>
      <c r="L20" s="47" t="s">
        <v>123</v>
      </c>
      <c r="M20" s="40" t="s">
        <v>134</v>
      </c>
      <c r="N20" s="41" t="s">
        <v>24</v>
      </c>
      <c r="O20" s="41" t="s">
        <v>130</v>
      </c>
      <c r="P20" s="40" t="s">
        <v>159</v>
      </c>
      <c r="Q20" s="40" t="s">
        <v>121</v>
      </c>
      <c r="R20" s="40" t="s">
        <v>4</v>
      </c>
      <c r="S20" s="41" t="s">
        <v>137</v>
      </c>
      <c r="U20" s="40" t="s">
        <v>109</v>
      </c>
      <c r="V20" s="41" t="s">
        <v>87</v>
      </c>
      <c r="W20" s="41" t="s">
        <v>128</v>
      </c>
      <c r="X20" s="41" t="s">
        <v>62</v>
      </c>
    </row>
    <row r="21" spans="2:24" ht="38" customHeight="1" x14ac:dyDescent="0.35">
      <c r="B21" s="4"/>
      <c r="C21" s="94" t="str">
        <f>+Datos!R2</f>
        <v>Ciclo Minero 10,0 x 7,2 m
Galería Inyección Principal</v>
      </c>
      <c r="D21" s="94" t="s">
        <v>56</v>
      </c>
      <c r="E21" s="4" t="s">
        <v>6</v>
      </c>
      <c r="F21" s="4" t="s">
        <v>165</v>
      </c>
      <c r="G21" s="4" t="s">
        <v>212</v>
      </c>
      <c r="H21" s="6">
        <v>0.41666666666666669</v>
      </c>
      <c r="I21" s="6">
        <v>0.45833333333333331</v>
      </c>
      <c r="J21" s="36">
        <f t="shared" ref="J21:J25" si="0">MOD(I21-H21, 1)</f>
        <v>4.166666666666663E-2</v>
      </c>
      <c r="K21" s="96">
        <v>1</v>
      </c>
      <c r="L21" s="65"/>
      <c r="M21" s="66" t="s">
        <v>162</v>
      </c>
      <c r="N21" s="37">
        <v>1</v>
      </c>
      <c r="O21" s="37"/>
      <c r="P21" s="4"/>
      <c r="Q21" s="6"/>
      <c r="R21" s="6"/>
      <c r="S21" s="36">
        <f>+MOD(R21-Q21,1)</f>
        <v>0</v>
      </c>
      <c r="U21" s="126">
        <f>+IFERROR(VLOOKUP(D21,Datos!$R$3:$T$19,3,FALSE), "0")</f>
        <v>4.2783799201369072E-2</v>
      </c>
      <c r="V21" s="67" t="str">
        <f>IF(OR(D21="Perforación de Fortificación", D21="Perforación de Avance", D21="Perforación Desquinche"), K21*M21, "")</f>
        <v/>
      </c>
      <c r="W21" s="67" t="str">
        <f>IF(D21="Extracción de Marina Disparo",K21,"")</f>
        <v/>
      </c>
      <c r="X21" s="67" t="str">
        <f>IF(OR(D21="Shotcrete", D21="Pre Shotcrete"), K21, "")</f>
        <v/>
      </c>
    </row>
    <row r="22" spans="2:24" ht="38" customHeight="1" x14ac:dyDescent="0.35">
      <c r="B22" s="4"/>
      <c r="C22" s="94" t="str">
        <f>+C21</f>
        <v>Ciclo Minero 10,0 x 7,2 m
Galería Inyección Principal</v>
      </c>
      <c r="D22" s="94" t="s">
        <v>59</v>
      </c>
      <c r="E22" s="4" t="s">
        <v>6</v>
      </c>
      <c r="F22" s="4" t="s">
        <v>165</v>
      </c>
      <c r="G22" s="4" t="s">
        <v>213</v>
      </c>
      <c r="H22" s="6">
        <v>0.45833333333333331</v>
      </c>
      <c r="I22" s="6">
        <v>0.5</v>
      </c>
      <c r="J22" s="36">
        <f t="shared" si="0"/>
        <v>4.1666666666666685E-2</v>
      </c>
      <c r="K22" s="7">
        <v>3</v>
      </c>
      <c r="L22" s="65" t="s">
        <v>128</v>
      </c>
      <c r="M22" s="66">
        <v>0</v>
      </c>
      <c r="N22" s="37">
        <v>1</v>
      </c>
      <c r="O22" s="37"/>
      <c r="P22" s="4"/>
      <c r="Q22" s="6"/>
      <c r="R22" s="4"/>
      <c r="S22" s="36">
        <f t="shared" ref="S22:S26" si="1">+MOD(R22-Q22,1)</f>
        <v>0</v>
      </c>
      <c r="U22" s="126">
        <f>+IFERROR(VLOOKUP(D22,Datos!$R$3:$T$19,3,FALSE), "0")</f>
        <v>5.7045065601825425E-3</v>
      </c>
      <c r="V22" s="67" t="str">
        <f t="shared" ref="V22:V26" si="2">IF(OR(D22="Perforación de Fortificación", D22="Perforación de Avance", D22="Perforación Desquinche"), K22*M22, "")</f>
        <v/>
      </c>
      <c r="W22" s="67" t="str">
        <f t="shared" ref="W22:W26" si="3">IF(D22="Extracción de Marina Disparo",K22,"")</f>
        <v/>
      </c>
      <c r="X22" s="67" t="str">
        <f t="shared" ref="X22:X26" si="4">IF(OR(D22="Shotcrete", D22="Pre Shotcrete"), K22, "")</f>
        <v/>
      </c>
    </row>
    <row r="23" spans="2:24" ht="38" customHeight="1" x14ac:dyDescent="0.35">
      <c r="B23" s="4"/>
      <c r="C23" s="94" t="str">
        <f t="shared" ref="C23:C25" si="5">+C22</f>
        <v>Ciclo Minero 10,0 x 7,2 m
Galería Inyección Principal</v>
      </c>
      <c r="D23" s="94" t="s">
        <v>173</v>
      </c>
      <c r="E23" s="4" t="s">
        <v>6</v>
      </c>
      <c r="F23" s="4" t="s">
        <v>165</v>
      </c>
      <c r="G23" s="4"/>
      <c r="H23" s="6">
        <v>0.5</v>
      </c>
      <c r="I23" s="6">
        <v>0.53125</v>
      </c>
      <c r="J23" s="36">
        <f t="shared" si="0"/>
        <v>3.125E-2</v>
      </c>
      <c r="K23" s="7"/>
      <c r="L23" s="65"/>
      <c r="M23" s="66"/>
      <c r="N23" s="37">
        <v>1</v>
      </c>
      <c r="O23" s="37"/>
      <c r="P23" s="4"/>
      <c r="Q23" s="4"/>
      <c r="R23" s="4"/>
      <c r="S23" s="36">
        <f t="shared" si="1"/>
        <v>0</v>
      </c>
      <c r="U23" s="126">
        <f>+IFERROR(VLOOKUP(D23,Datos!$R$3:$T$19,3,FALSE), "0")</f>
        <v>3.4227039361095259E-2</v>
      </c>
      <c r="V23" s="67" t="str">
        <f t="shared" si="2"/>
        <v/>
      </c>
      <c r="W23" s="67" t="str">
        <f t="shared" si="3"/>
        <v/>
      </c>
      <c r="X23" s="67" t="str">
        <f t="shared" si="4"/>
        <v/>
      </c>
    </row>
    <row r="24" spans="2:24" ht="38" customHeight="1" x14ac:dyDescent="0.35">
      <c r="B24" s="4"/>
      <c r="C24" s="94" t="str">
        <f t="shared" si="5"/>
        <v>Ciclo Minero 10,0 x 7,2 m
Galería Inyección Principal</v>
      </c>
      <c r="D24" s="94" t="s">
        <v>57</v>
      </c>
      <c r="E24" s="4" t="s">
        <v>6</v>
      </c>
      <c r="F24" s="4" t="s">
        <v>165</v>
      </c>
      <c r="G24" s="4" t="s">
        <v>202</v>
      </c>
      <c r="H24" s="6">
        <v>0.54166666666666663</v>
      </c>
      <c r="I24" s="6">
        <v>0.625</v>
      </c>
      <c r="J24" s="36">
        <f t="shared" si="0"/>
        <v>8.333333333333337E-2</v>
      </c>
      <c r="K24" s="7">
        <v>40</v>
      </c>
      <c r="L24" s="65" t="s">
        <v>138</v>
      </c>
      <c r="M24" s="66">
        <v>4</v>
      </c>
      <c r="N24" s="37">
        <v>1</v>
      </c>
      <c r="O24" s="37"/>
      <c r="P24" s="4"/>
      <c r="Q24" s="4"/>
      <c r="R24" s="4"/>
      <c r="S24" s="36">
        <f t="shared" si="1"/>
        <v>0</v>
      </c>
      <c r="U24" s="126">
        <f>+IFERROR(VLOOKUP(D24,Datos!$R$3:$T$19,3,FALSE), "0")</f>
        <v>8.6138049058756397E-2</v>
      </c>
      <c r="V24" s="67">
        <f t="shared" si="2"/>
        <v>160</v>
      </c>
      <c r="W24" s="67" t="str">
        <f t="shared" si="3"/>
        <v/>
      </c>
      <c r="X24" s="67" t="str">
        <f t="shared" si="4"/>
        <v/>
      </c>
    </row>
    <row r="25" spans="2:24" ht="38" customHeight="1" x14ac:dyDescent="0.35">
      <c r="B25" s="4"/>
      <c r="C25" s="94" t="str">
        <f t="shared" si="5"/>
        <v>Ciclo Minero 10,0 x 7,2 m
Galería Inyección Principal</v>
      </c>
      <c r="D25" s="94" t="s">
        <v>54</v>
      </c>
      <c r="E25" s="4" t="s">
        <v>6</v>
      </c>
      <c r="F25" s="4" t="s">
        <v>165</v>
      </c>
      <c r="G25" s="4" t="s">
        <v>212</v>
      </c>
      <c r="H25" s="6">
        <v>0.64583333333333337</v>
      </c>
      <c r="I25" s="6">
        <v>0.77083333333333337</v>
      </c>
      <c r="J25" s="36">
        <f t="shared" si="0"/>
        <v>0.125</v>
      </c>
      <c r="K25" s="7">
        <v>40</v>
      </c>
      <c r="L25" s="65" t="s">
        <v>125</v>
      </c>
      <c r="M25" s="66"/>
      <c r="N25" s="37">
        <v>1</v>
      </c>
      <c r="O25" s="37"/>
      <c r="P25" s="4"/>
      <c r="Q25" s="4"/>
      <c r="R25" s="4"/>
      <c r="S25" s="36">
        <f t="shared" si="1"/>
        <v>0</v>
      </c>
      <c r="U25" s="126">
        <f>+IFERROR(VLOOKUP(D25,Datos!$R$3:$T$19,3,FALSE), "0")</f>
        <v>0.17798060467769536</v>
      </c>
      <c r="V25" s="67" t="str">
        <f t="shared" si="2"/>
        <v/>
      </c>
      <c r="W25" s="67" t="str">
        <f t="shared" si="3"/>
        <v/>
      </c>
      <c r="X25" s="67" t="str">
        <f t="shared" si="4"/>
        <v/>
      </c>
    </row>
    <row r="26" spans="2:24" ht="38" customHeight="1" x14ac:dyDescent="0.35">
      <c r="B26" s="4"/>
      <c r="C26" s="94"/>
      <c r="D26" s="94"/>
      <c r="E26" s="4"/>
      <c r="F26" s="4"/>
      <c r="G26" s="4"/>
      <c r="H26" s="6"/>
      <c r="I26" s="6"/>
      <c r="J26" s="36">
        <f>SUM(J21:J25)</f>
        <v>0.32291666666666669</v>
      </c>
      <c r="K26" s="7"/>
      <c r="L26" s="65"/>
      <c r="M26" s="66"/>
      <c r="N26" s="37"/>
      <c r="O26" s="129" t="s">
        <v>222</v>
      </c>
      <c r="P26" s="4"/>
      <c r="Q26" s="4"/>
      <c r="R26" s="4"/>
      <c r="S26" s="36">
        <f t="shared" si="1"/>
        <v>0</v>
      </c>
      <c r="U26" s="45">
        <f>SUM(Datos!T4:T13)-SUM(U21:U25)</f>
        <v>8.6708499714774678E-2</v>
      </c>
      <c r="V26" s="67" t="str">
        <f t="shared" si="2"/>
        <v/>
      </c>
      <c r="W26" s="67" t="str">
        <f t="shared" si="3"/>
        <v/>
      </c>
      <c r="X26" s="67" t="str">
        <f t="shared" si="4"/>
        <v/>
      </c>
    </row>
    <row r="27" spans="2:24" ht="17" x14ac:dyDescent="0.4">
      <c r="B27" s="90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41"/>
      <c r="L27" s="47"/>
      <c r="M27" s="40"/>
      <c r="N27" s="41"/>
      <c r="O27" s="41"/>
      <c r="P27" s="40"/>
      <c r="Q27" s="40"/>
      <c r="R27" s="40"/>
      <c r="S27" s="41"/>
      <c r="U27" s="40"/>
      <c r="V27" s="41"/>
      <c r="W27" s="41"/>
      <c r="X27" s="41"/>
    </row>
    <row r="28" spans="2:24" ht="72.5" x14ac:dyDescent="0.35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41" t="s">
        <v>131</v>
      </c>
      <c r="L28" s="47" t="s">
        <v>123</v>
      </c>
      <c r="M28" s="40" t="s">
        <v>134</v>
      </c>
      <c r="N28" s="41" t="s">
        <v>24</v>
      </c>
      <c r="O28" s="41" t="s">
        <v>130</v>
      </c>
      <c r="P28" s="40" t="s">
        <v>132</v>
      </c>
      <c r="Q28" s="40" t="s">
        <v>121</v>
      </c>
      <c r="R28" s="40" t="s">
        <v>4</v>
      </c>
      <c r="S28" s="41" t="s">
        <v>137</v>
      </c>
      <c r="U28" s="40" t="s">
        <v>109</v>
      </c>
      <c r="V28" s="41" t="s">
        <v>87</v>
      </c>
      <c r="W28" s="41" t="s">
        <v>128</v>
      </c>
      <c r="X28" s="41" t="s">
        <v>128</v>
      </c>
    </row>
    <row r="29" spans="2:24" ht="38" customHeight="1" x14ac:dyDescent="0.35">
      <c r="B29" s="4"/>
      <c r="C29" s="94" t="str">
        <f>+Datos!R23</f>
        <v>Ciclo Minero 5,2 x 5,6 m
Galería Acceso Portal de Servicio</v>
      </c>
      <c r="D29" s="94" t="s">
        <v>59</v>
      </c>
      <c r="E29" s="4" t="s">
        <v>6</v>
      </c>
      <c r="F29" s="4" t="s">
        <v>166</v>
      </c>
      <c r="G29" s="4" t="s">
        <v>213</v>
      </c>
      <c r="H29" s="6">
        <v>0.45833333333333331</v>
      </c>
      <c r="I29" s="6">
        <v>0.5</v>
      </c>
      <c r="J29" s="36">
        <f t="shared" ref="J29" si="6">MOD(I29-H29, 1)</f>
        <v>4.1666666666666685E-2</v>
      </c>
      <c r="K29" s="7">
        <v>3</v>
      </c>
      <c r="L29" s="65" t="s">
        <v>128</v>
      </c>
      <c r="M29" s="66">
        <v>0</v>
      </c>
      <c r="N29" s="37">
        <v>1</v>
      </c>
      <c r="O29" s="95"/>
      <c r="P29" s="4"/>
      <c r="Q29" s="6"/>
      <c r="R29" s="6"/>
      <c r="S29" s="36">
        <f>+MOD(R29-Q29,1)</f>
        <v>0</v>
      </c>
      <c r="U29" s="124">
        <f>+IFERROR(VLOOKUP(D29,Datos!$R$24:$T$40,3,FALSE), "0")</f>
        <v>9.7751710654936444E-3</v>
      </c>
      <c r="V29" s="67" t="str">
        <f t="shared" ref="V29:V33" si="7">IF(OR(D29="Perforación de Fortificación", D29="Perforación de Avance", D29="Perforación Desquinche"), K29*M29, "")</f>
        <v/>
      </c>
      <c r="W29" s="67" t="str">
        <f>IF(D29="Extracción de Marina Disparo",K29,"")</f>
        <v/>
      </c>
      <c r="X29" s="67" t="str">
        <f t="shared" ref="X29:X33" si="8">IF(OR(D29="Shotcrete", D29="Pre Shotcrete"), K29, "")</f>
        <v/>
      </c>
    </row>
    <row r="30" spans="2:24" ht="38" customHeight="1" x14ac:dyDescent="0.35">
      <c r="B30" s="4"/>
      <c r="C30" s="94" t="str">
        <f>+C29</f>
        <v>Ciclo Minero 5,2 x 5,6 m
Galería Acceso Portal de Servicio</v>
      </c>
      <c r="D30" s="94" t="s">
        <v>104</v>
      </c>
      <c r="E30" s="4" t="s">
        <v>6</v>
      </c>
      <c r="F30" s="4" t="s">
        <v>166</v>
      </c>
      <c r="G30" s="4" t="s">
        <v>204</v>
      </c>
      <c r="H30" s="6">
        <v>0.58333333333333337</v>
      </c>
      <c r="I30" s="6">
        <v>0.70833333333333337</v>
      </c>
      <c r="J30" s="36">
        <f t="shared" ref="J30:J33" si="9">MOD(I30-H30, 1)</f>
        <v>0.125</v>
      </c>
      <c r="K30" s="7">
        <v>45</v>
      </c>
      <c r="L30" s="65" t="s">
        <v>128</v>
      </c>
      <c r="M30" s="66">
        <v>0</v>
      </c>
      <c r="N30" s="37">
        <v>1</v>
      </c>
      <c r="O30" s="37"/>
      <c r="P30" s="4"/>
      <c r="Q30" s="4"/>
      <c r="R30" s="4"/>
      <c r="S30" s="36">
        <f t="shared" ref="S30:S33" si="10">+MOD(R30-Q30,1)</f>
        <v>0</v>
      </c>
      <c r="U30" s="124">
        <f>+IFERROR(VLOOKUP(D30,Datos!$R$24:$T$40,3,FALSE), "0")</f>
        <v>0.17399804496578691</v>
      </c>
      <c r="V30" s="67" t="str">
        <f t="shared" si="7"/>
        <v/>
      </c>
      <c r="W30" s="67">
        <f t="shared" ref="W30:W33" si="11">IF(D30="Extracción de Marina Disparo",K30,"")</f>
        <v>45</v>
      </c>
      <c r="X30" s="67" t="str">
        <f t="shared" si="8"/>
        <v/>
      </c>
    </row>
    <row r="31" spans="2:24" ht="38" customHeight="1" x14ac:dyDescent="0.35">
      <c r="B31" s="4"/>
      <c r="C31" s="94" t="str">
        <f t="shared" ref="C31:C34" si="12">+C30</f>
        <v>Ciclo Minero 5,2 x 5,6 m
Galería Acceso Portal de Servicio</v>
      </c>
      <c r="D31" s="94" t="s">
        <v>144</v>
      </c>
      <c r="E31" s="4" t="s">
        <v>6</v>
      </c>
      <c r="F31" s="4" t="s">
        <v>166</v>
      </c>
      <c r="G31" s="4"/>
      <c r="H31" s="6">
        <v>0.70833333333333337</v>
      </c>
      <c r="I31" s="6">
        <v>0.75</v>
      </c>
      <c r="J31" s="36">
        <f t="shared" si="9"/>
        <v>4.166666666666663E-2</v>
      </c>
      <c r="K31" s="7">
        <v>9</v>
      </c>
      <c r="L31" s="65" t="s">
        <v>223</v>
      </c>
      <c r="M31" s="66"/>
      <c r="N31" s="37"/>
      <c r="O31" s="37"/>
      <c r="P31" s="4"/>
      <c r="Q31" s="4"/>
      <c r="R31" s="4"/>
      <c r="S31" s="36">
        <f t="shared" si="10"/>
        <v>0</v>
      </c>
      <c r="U31" s="124" t="str">
        <f>+IFERROR(VLOOKUP(D31,Datos!$R$24:$T$40,3,FALSE), "0")</f>
        <v>0</v>
      </c>
      <c r="V31" s="67" t="str">
        <f t="shared" si="7"/>
        <v/>
      </c>
      <c r="W31" s="67" t="str">
        <f t="shared" si="11"/>
        <v/>
      </c>
      <c r="X31" s="67" t="str">
        <f t="shared" si="8"/>
        <v/>
      </c>
    </row>
    <row r="32" spans="2:24" ht="38" customHeight="1" x14ac:dyDescent="0.35">
      <c r="B32" s="4"/>
      <c r="C32" s="94" t="str">
        <f t="shared" si="12"/>
        <v>Ciclo Minero 5,2 x 5,6 m
Galería Acceso Portal de Servicio</v>
      </c>
      <c r="D32" s="94"/>
      <c r="E32" s="4"/>
      <c r="F32" s="4"/>
      <c r="G32" s="4"/>
      <c r="H32" s="6"/>
      <c r="I32" s="6"/>
      <c r="J32" s="36">
        <f t="shared" si="9"/>
        <v>0</v>
      </c>
      <c r="K32" s="7"/>
      <c r="L32" s="65"/>
      <c r="M32" s="66"/>
      <c r="N32" s="37"/>
      <c r="O32" s="37"/>
      <c r="P32" s="4"/>
      <c r="Q32" s="4"/>
      <c r="R32" s="4"/>
      <c r="S32" s="36">
        <f t="shared" si="10"/>
        <v>0</v>
      </c>
      <c r="U32" s="124" t="str">
        <f>+IFERROR(VLOOKUP(D32,Datos!$R$24:$T$40,3,FALSE), "0")</f>
        <v>0</v>
      </c>
      <c r="V32" s="67" t="str">
        <f t="shared" si="7"/>
        <v/>
      </c>
      <c r="W32" s="67" t="str">
        <f t="shared" si="11"/>
        <v/>
      </c>
      <c r="X32" s="67" t="str">
        <f t="shared" si="8"/>
        <v/>
      </c>
    </row>
    <row r="33" spans="2:24" ht="38" customHeight="1" x14ac:dyDescent="0.35">
      <c r="B33" s="4"/>
      <c r="C33" s="94" t="str">
        <f t="shared" si="12"/>
        <v>Ciclo Minero 5,2 x 5,6 m
Galería Acceso Portal de Servicio</v>
      </c>
      <c r="D33" s="94"/>
      <c r="E33" s="4"/>
      <c r="F33" s="4"/>
      <c r="G33" s="4"/>
      <c r="H33" s="6"/>
      <c r="I33" s="6"/>
      <c r="J33" s="36">
        <f t="shared" si="9"/>
        <v>0</v>
      </c>
      <c r="K33" s="7"/>
      <c r="L33" s="65"/>
      <c r="M33" s="66"/>
      <c r="N33" s="37"/>
      <c r="O33" s="37"/>
      <c r="P33" s="4"/>
      <c r="Q33" s="4"/>
      <c r="R33" s="4"/>
      <c r="S33" s="36">
        <f t="shared" si="10"/>
        <v>0</v>
      </c>
      <c r="U33" s="45" t="str">
        <f>+IFERROR(VLOOKUP(D33,Datos!$R$24:$T$40,3,FALSE), "0")</f>
        <v>0</v>
      </c>
      <c r="V33" s="67" t="str">
        <f t="shared" si="7"/>
        <v/>
      </c>
      <c r="W33" s="67" t="str">
        <f t="shared" si="11"/>
        <v/>
      </c>
      <c r="X33" s="67" t="str">
        <f t="shared" si="8"/>
        <v/>
      </c>
    </row>
    <row r="34" spans="2:24" ht="38" customHeight="1" x14ac:dyDescent="0.35">
      <c r="B34" s="4"/>
      <c r="C34" s="94" t="str">
        <f t="shared" si="12"/>
        <v>Ciclo Minero 5,2 x 5,6 m
Galería Acceso Portal de Servicio</v>
      </c>
      <c r="D34" s="94"/>
      <c r="E34" s="4"/>
      <c r="F34" s="4"/>
      <c r="G34" s="4"/>
      <c r="H34" s="6"/>
      <c r="I34" s="4"/>
      <c r="J34" s="36">
        <f>SUM(J29:J33)</f>
        <v>0.20833333333333331</v>
      </c>
      <c r="K34" s="7"/>
      <c r="L34" s="65"/>
      <c r="M34" s="66"/>
      <c r="N34" s="37"/>
      <c r="O34" s="37"/>
      <c r="P34" s="4"/>
      <c r="Q34" s="4"/>
      <c r="R34" s="4"/>
      <c r="S34" s="36">
        <f t="shared" ref="S34" si="13">+MOD(R34-Q34,1)</f>
        <v>0</v>
      </c>
      <c r="U34" s="45"/>
      <c r="V34" s="67" t="str">
        <f t="shared" ref="V34" si="14">IF(OR(D34="Perforación de Fortificación", D34="Perforación de Avance", D34="Perforación Desquinche"), K34*M34, "")</f>
        <v/>
      </c>
      <c r="W34" s="67" t="str">
        <f t="shared" ref="W34" si="15">IF(D34="Extracción de Marina Disparo",K34,"")</f>
        <v/>
      </c>
      <c r="X34" s="67" t="str">
        <f t="shared" ref="X34" si="16">IF(OR(D34="Shotcrete", D34="Pre Shotcrete"), K34, "")</f>
        <v/>
      </c>
    </row>
    <row r="35" spans="2:24" ht="15.65" customHeight="1" thickBot="1" x14ac:dyDescent="0.4">
      <c r="B35" s="5"/>
      <c r="C35" s="5"/>
      <c r="D35" s="5"/>
      <c r="E35" s="5"/>
      <c r="F35" s="5"/>
      <c r="G35" s="5"/>
      <c r="H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2:24" ht="30" customHeight="1" thickBot="1" x14ac:dyDescent="0.4">
      <c r="B36" s="69"/>
      <c r="C36" s="404" t="s">
        <v>64</v>
      </c>
      <c r="D36" s="404"/>
      <c r="E36" s="70"/>
      <c r="F36" s="70"/>
      <c r="G36" s="424">
        <v>3500</v>
      </c>
      <c r="H36" s="425"/>
      <c r="I36" s="424">
        <v>3700</v>
      </c>
      <c r="J36" s="425"/>
      <c r="K36" s="429" t="s">
        <v>146</v>
      </c>
      <c r="L36" s="430"/>
      <c r="M36" s="5"/>
      <c r="N36" s="5"/>
      <c r="O36" s="5"/>
      <c r="P36" s="5"/>
      <c r="Q36" s="5"/>
      <c r="R36" s="5"/>
      <c r="S36" s="5"/>
    </row>
    <row r="37" spans="2:24" ht="30" customHeight="1" x14ac:dyDescent="0.35">
      <c r="C37" s="54" t="s">
        <v>48</v>
      </c>
      <c r="D37" s="55">
        <f>SUMPRODUCT((LEFT(F21:F33, 1)="C") / (COUNTIF(F21:F33, F21:F33 &amp; "") + (F21:F33="")))</f>
        <v>0</v>
      </c>
      <c r="E37" s="406" t="s">
        <v>90</v>
      </c>
      <c r="F37" s="406"/>
      <c r="G37" s="82">
        <v>0.26041666666666669</v>
      </c>
      <c r="H37" s="105" t="s">
        <v>23</v>
      </c>
      <c r="I37" s="82">
        <v>0.26041666666666669</v>
      </c>
      <c r="J37" s="105" t="s">
        <v>23</v>
      </c>
      <c r="K37" s="101">
        <f>+G37</f>
        <v>0.26041666666666669</v>
      </c>
      <c r="L37" s="105" t="s">
        <v>23</v>
      </c>
      <c r="M37" s="5"/>
      <c r="N37" s="5"/>
      <c r="O37" s="5"/>
      <c r="P37" s="5"/>
      <c r="Q37" s="5"/>
      <c r="R37" s="5"/>
      <c r="S37" s="5"/>
    </row>
    <row r="38" spans="2:24" x14ac:dyDescent="0.35">
      <c r="C38" s="54" t="s">
        <v>49</v>
      </c>
      <c r="D38" s="55">
        <f>SUMPRODUCT((LEFT(F21:F33, 1)="O") / (COUNTIF(F21:F33, F21:F33 &amp; "") + (F21:F33="")))</f>
        <v>0</v>
      </c>
      <c r="E38" s="405" t="s">
        <v>198</v>
      </c>
      <c r="F38" s="405"/>
      <c r="G38" s="84">
        <f>SUM(J21:J26)</f>
        <v>0.64583333333333337</v>
      </c>
      <c r="H38" s="106">
        <f>+G38*24/($G$37*24)</f>
        <v>2.48</v>
      </c>
      <c r="I38" s="84">
        <f>SUM(J29:J33)</f>
        <v>0.20833333333333331</v>
      </c>
      <c r="J38" s="106">
        <f>+I38*24/($I$37*24)</f>
        <v>0.8</v>
      </c>
      <c r="K38" s="102">
        <f>AVERAGE(G38+I38)/2</f>
        <v>0.42708333333333337</v>
      </c>
      <c r="L38" s="106">
        <f>+K38*24/($K$37*24)</f>
        <v>1.64</v>
      </c>
      <c r="M38" s="5"/>
      <c r="N38" s="5"/>
      <c r="O38" s="5"/>
      <c r="P38" s="5"/>
      <c r="Q38" s="5"/>
      <c r="R38" s="5"/>
      <c r="S38" s="5"/>
    </row>
    <row r="39" spans="2:24" ht="43.25" customHeight="1" thickBot="1" x14ac:dyDescent="0.4">
      <c r="E39" s="405" t="s">
        <v>94</v>
      </c>
      <c r="F39" s="405"/>
      <c r="G39" s="86"/>
      <c r="H39" s="107">
        <f>+AVERAGE(N21:N26)</f>
        <v>1</v>
      </c>
      <c r="I39" s="86"/>
      <c r="J39" s="107">
        <f>+AVERAGE(N29:N33)</f>
        <v>1</v>
      </c>
      <c r="K39" s="103"/>
      <c r="L39" s="107">
        <f>+AVERAGE(N21:N33)</f>
        <v>1</v>
      </c>
    </row>
    <row r="40" spans="2:24" ht="43.25" customHeight="1" x14ac:dyDescent="0.35">
      <c r="E40" s="79"/>
      <c r="F40" s="79"/>
      <c r="G40" s="80"/>
      <c r="H40" s="80"/>
      <c r="I40" s="78"/>
      <c r="J40" s="78"/>
      <c r="K40" s="78"/>
      <c r="L40" s="78"/>
    </row>
    <row r="41" spans="2:24" ht="43.25" customHeight="1" x14ac:dyDescent="0.35">
      <c r="E41" s="54"/>
      <c r="F41" s="54"/>
      <c r="G41" s="57"/>
      <c r="H41" s="53" t="s">
        <v>24</v>
      </c>
      <c r="I41" s="53" t="s">
        <v>199</v>
      </c>
      <c r="J41" s="53" t="s">
        <v>201</v>
      </c>
      <c r="K41" s="53" t="s">
        <v>200</v>
      </c>
      <c r="L41" s="345" t="s">
        <v>484</v>
      </c>
      <c r="M41" s="345" t="s">
        <v>485</v>
      </c>
      <c r="N41" s="53"/>
    </row>
    <row r="42" spans="2:24" x14ac:dyDescent="0.35">
      <c r="E42" s="421" t="s">
        <v>174</v>
      </c>
      <c r="F42" s="421"/>
      <c r="G42" s="421"/>
      <c r="H42" s="46">
        <f>SUMPRODUCT(N29:N33 * U29:U33 * (N29:N33&lt;&gt;"") * (U29:U33&lt;&gt;""))</f>
        <v>0.18377321603128055</v>
      </c>
      <c r="I42" s="108">
        <f>+H42*$J$42*$K$42</f>
        <v>4.1481290322580646</v>
      </c>
      <c r="J42" s="109">
        <v>6.6</v>
      </c>
      <c r="K42">
        <v>3.42</v>
      </c>
      <c r="L42" s="344">
        <v>56.080975609756102</v>
      </c>
      <c r="M42" s="344">
        <f>+L42*K42*H42</f>
        <v>35.247139861240257</v>
      </c>
    </row>
    <row r="43" spans="2:24" ht="14.4" customHeight="1" x14ac:dyDescent="0.35">
      <c r="E43" s="421" t="s">
        <v>175</v>
      </c>
      <c r="F43" s="421"/>
      <c r="G43" s="421"/>
      <c r="H43" s="46">
        <f>+SUMPRODUCT(N21:N26 * U21:U26 * (N21:N26&lt;&gt;"") * (U21:U26&lt;&gt;""))</f>
        <v>0.3468339988590986</v>
      </c>
      <c r="I43" s="108">
        <f>+H43*$J$43*$K$43</f>
        <v>13.996832857957784</v>
      </c>
      <c r="J43" s="109">
        <v>11.8</v>
      </c>
      <c r="K43">
        <v>3.42</v>
      </c>
      <c r="L43" s="344">
        <v>118.52055555555555</v>
      </c>
      <c r="M43" s="344">
        <f>+L43*K43*H43</f>
        <v>140.58579714774666</v>
      </c>
    </row>
    <row r="44" spans="2:24" ht="14.4" customHeight="1" x14ac:dyDescent="0.35">
      <c r="E44" s="421" t="s">
        <v>224</v>
      </c>
      <c r="F44" s="421"/>
      <c r="G44" s="421"/>
      <c r="H44" s="46"/>
      <c r="I44" s="108">
        <f>+J44*K44</f>
        <v>3.05686656</v>
      </c>
      <c r="J44" s="128">
        <f>1892/1000000</f>
        <v>1.892E-3</v>
      </c>
      <c r="K44" s="127">
        <f>+((15*4.4)*2.72)*K31</f>
        <v>1615.68</v>
      </c>
      <c r="L44" s="346">
        <v>1.6919982016368774E-2</v>
      </c>
      <c r="M44" s="344">
        <f>+L44*K44</f>
        <v>27.337276544206702</v>
      </c>
    </row>
    <row r="45" spans="2:24" ht="14.4" customHeight="1" x14ac:dyDescent="0.35">
      <c r="E45" s="421" t="s">
        <v>225</v>
      </c>
      <c r="F45" s="421"/>
      <c r="G45" s="421"/>
      <c r="H45" s="46"/>
      <c r="I45" s="108"/>
      <c r="J45" s="128">
        <f>+J44</f>
        <v>1.892E-3</v>
      </c>
      <c r="K45" s="110"/>
      <c r="L45" s="104"/>
      <c r="M45" s="352">
        <f>SUM(M42:M44)</f>
        <v>203.17021355319361</v>
      </c>
    </row>
    <row r="46" spans="2:24" ht="7.75" customHeight="1" thickBot="1" x14ac:dyDescent="0.4"/>
    <row r="47" spans="2:24" ht="30" customHeight="1" thickBot="1" x14ac:dyDescent="0.4">
      <c r="B47" s="69"/>
      <c r="C47" s="404" t="s">
        <v>88</v>
      </c>
      <c r="D47" s="404"/>
      <c r="E47" s="70"/>
      <c r="F47" s="70"/>
      <c r="G47" s="70"/>
      <c r="H47" s="70"/>
      <c r="I47" s="71"/>
      <c r="J47" s="72"/>
    </row>
    <row r="48" spans="2:24" ht="38" customHeight="1" x14ac:dyDescent="0.35">
      <c r="C48" s="58" t="s">
        <v>89</v>
      </c>
      <c r="D48" s="55">
        <f>SUMPRODUCT((LEFT(G21:G33, 5)="Jumbo") / (COUNTIF(G21:G33, G21:G33 &amp; "") + (G21:G33="")))</f>
        <v>1</v>
      </c>
      <c r="E48" s="406" t="s">
        <v>90</v>
      </c>
      <c r="F48" s="406"/>
      <c r="G48" s="56">
        <v>0.20833333333333334</v>
      </c>
      <c r="I48" s="3"/>
      <c r="J48" s="5"/>
    </row>
    <row r="49" spans="2:10" ht="38" customHeight="1" x14ac:dyDescent="0.35">
      <c r="E49" s="406" t="s">
        <v>93</v>
      </c>
      <c r="F49" s="406"/>
      <c r="G49" s="55">
        <f>15000/(60)</f>
        <v>250</v>
      </c>
      <c r="H49" s="60" t="s">
        <v>143</v>
      </c>
      <c r="I49" s="3"/>
      <c r="J49" s="5"/>
    </row>
    <row r="50" spans="2:10" ht="38" customHeight="1" x14ac:dyDescent="0.35">
      <c r="E50" s="405" t="s">
        <v>91</v>
      </c>
      <c r="F50" s="405"/>
      <c r="G50" s="57">
        <f>+SUM(SUMIF($G$21:$G$33, "Jumbo*", $J$21:$J$33))/SUMPRODUCT((LEFT(G21:G33, 5)="Jumbo") / (COUNTIF(G21:G33, G21:G33 &amp; "") + (G21:G33="")))</f>
        <v>8.333333333333337E-2</v>
      </c>
      <c r="H50" s="39">
        <f>+G50*24/($G$48*24)</f>
        <v>0.40000000000000019</v>
      </c>
      <c r="I50" s="5"/>
      <c r="J50" s="5"/>
    </row>
    <row r="51" spans="2:10" ht="38" customHeight="1" x14ac:dyDescent="0.35">
      <c r="E51" s="405" t="s">
        <v>92</v>
      </c>
      <c r="F51" s="405"/>
      <c r="G51" s="59">
        <f>+SUM(V21:V33)/D48</f>
        <v>160</v>
      </c>
      <c r="H51" s="39">
        <f>+G51/G49</f>
        <v>0.64</v>
      </c>
      <c r="I51" s="5"/>
      <c r="J51" s="5"/>
    </row>
    <row r="52" spans="2:10" ht="38" customHeight="1" x14ac:dyDescent="0.35">
      <c r="G52" s="38" t="s">
        <v>87</v>
      </c>
      <c r="H52" s="3" t="s">
        <v>23</v>
      </c>
    </row>
    <row r="53" spans="2:10" ht="20" customHeight="1" x14ac:dyDescent="0.35">
      <c r="F53" s="53" t="s">
        <v>65</v>
      </c>
      <c r="G53" s="59">
        <f t="shared" ref="G53:G58" si="17" xml:space="preserve"> SUMIF($G$21:$G$33, +F53,$V$21:$V$33)</f>
        <v>0</v>
      </c>
      <c r="H53" s="39">
        <f t="shared" ref="H53:H58" si="18">+G53/$G$49</f>
        <v>0</v>
      </c>
    </row>
    <row r="54" spans="2:10" ht="20" customHeight="1" x14ac:dyDescent="0.35">
      <c r="F54" s="53" t="s">
        <v>66</v>
      </c>
      <c r="G54" s="59">
        <f t="shared" si="17"/>
        <v>0</v>
      </c>
      <c r="H54" s="39">
        <f t="shared" si="18"/>
        <v>0</v>
      </c>
    </row>
    <row r="55" spans="2:10" ht="20" customHeight="1" x14ac:dyDescent="0.35">
      <c r="F55" s="53" t="s">
        <v>67</v>
      </c>
      <c r="G55" s="59">
        <f t="shared" si="17"/>
        <v>0</v>
      </c>
      <c r="H55" s="39">
        <f t="shared" si="18"/>
        <v>0</v>
      </c>
    </row>
    <row r="56" spans="2:10" ht="20" customHeight="1" x14ac:dyDescent="0.35">
      <c r="F56" s="53" t="s">
        <v>68</v>
      </c>
      <c r="G56" s="59">
        <f t="shared" si="17"/>
        <v>0</v>
      </c>
      <c r="H56" s="39">
        <f t="shared" si="18"/>
        <v>0</v>
      </c>
    </row>
    <row r="57" spans="2:10" ht="20" customHeight="1" x14ac:dyDescent="0.35">
      <c r="F57" s="53" t="s">
        <v>69</v>
      </c>
      <c r="G57" s="59">
        <f t="shared" si="17"/>
        <v>0</v>
      </c>
      <c r="H57" s="39">
        <f t="shared" si="18"/>
        <v>0</v>
      </c>
    </row>
    <row r="58" spans="2:10" ht="20" customHeight="1" x14ac:dyDescent="0.35">
      <c r="F58" s="53" t="s">
        <v>70</v>
      </c>
      <c r="G58" s="59">
        <f t="shared" si="17"/>
        <v>0</v>
      </c>
      <c r="H58" s="39">
        <f t="shared" si="18"/>
        <v>0</v>
      </c>
    </row>
    <row r="59" spans="2:10" ht="20" customHeight="1" x14ac:dyDescent="0.35">
      <c r="F59" s="53" t="s">
        <v>146</v>
      </c>
      <c r="G59" s="111">
        <f>+SUM(G53:G58)</f>
        <v>0</v>
      </c>
      <c r="H59" s="39">
        <f>+G59/($G$49*$D$48)</f>
        <v>0</v>
      </c>
    </row>
    <row r="60" spans="2:10" ht="15" thickBot="1" x14ac:dyDescent="0.4"/>
    <row r="61" spans="2:10" ht="30" customHeight="1" thickBot="1" x14ac:dyDescent="0.4">
      <c r="B61" s="69"/>
      <c r="C61" s="404" t="s">
        <v>107</v>
      </c>
      <c r="D61" s="404"/>
      <c r="E61" s="70"/>
      <c r="F61" s="70"/>
      <c r="G61" s="70"/>
      <c r="H61" s="70"/>
      <c r="I61" s="71"/>
      <c r="J61" s="72"/>
    </row>
    <row r="62" spans="2:10" ht="38" customHeight="1" x14ac:dyDescent="0.35">
      <c r="C62" s="53" t="s">
        <v>95</v>
      </c>
      <c r="D62" s="55">
        <f>SUMPRODUCT((LEFT(G21:G33, 5)="Scoop") / (COUNTIF(G21:G33, G21:G33 &amp; "") + (G21:G33="")))</f>
        <v>1</v>
      </c>
      <c r="E62" s="406" t="s">
        <v>90</v>
      </c>
      <c r="F62" s="406"/>
      <c r="G62" s="56">
        <v>0.20833333333333334</v>
      </c>
      <c r="I62" s="3"/>
      <c r="J62" s="5"/>
    </row>
    <row r="63" spans="2:10" ht="38" customHeight="1" x14ac:dyDescent="0.35">
      <c r="C63" s="53" t="s">
        <v>145</v>
      </c>
      <c r="D63" s="55">
        <v>4.9000000000000004</v>
      </c>
      <c r="E63" s="406" t="s">
        <v>97</v>
      </c>
      <c r="F63" s="406"/>
      <c r="G63" s="55">
        <f>15000/(60)</f>
        <v>250</v>
      </c>
      <c r="H63" s="60" t="s">
        <v>23</v>
      </c>
      <c r="I63" s="3"/>
      <c r="J63" s="5"/>
    </row>
    <row r="64" spans="2:10" ht="38" customHeight="1" x14ac:dyDescent="0.35">
      <c r="E64" s="405" t="s">
        <v>98</v>
      </c>
      <c r="F64" s="405"/>
      <c r="G64" s="57">
        <f>+SUM(SUMIF($G$21:$G$33, "Scoop*", $J$21:$J$33))/SUMPRODUCT((LEFT(G21:G33, 5)="Scoop") / (COUNTIF(G21:G33, G21:G33 &amp; "") + (G21:G33="")))</f>
        <v>0.125</v>
      </c>
      <c r="H64" s="39">
        <f>+G64*24/($G$62*24)</f>
        <v>0.6</v>
      </c>
      <c r="I64" s="5"/>
      <c r="J64" s="5"/>
    </row>
    <row r="65" spans="2:10" ht="38" customHeight="1" x14ac:dyDescent="0.35">
      <c r="E65" s="405" t="s">
        <v>99</v>
      </c>
      <c r="F65" s="405"/>
      <c r="G65" s="59">
        <f>+SUM(W21:W33)*D63/D62</f>
        <v>220.50000000000003</v>
      </c>
      <c r="H65" s="39">
        <f>+G65/G63</f>
        <v>0.88200000000000012</v>
      </c>
      <c r="I65" s="5"/>
      <c r="J65" s="5"/>
    </row>
    <row r="66" spans="2:10" ht="38" customHeight="1" x14ac:dyDescent="0.35">
      <c r="G66" s="38" t="s">
        <v>96</v>
      </c>
      <c r="H66" s="3" t="s">
        <v>23</v>
      </c>
    </row>
    <row r="67" spans="2:10" ht="20" customHeight="1" x14ac:dyDescent="0.35">
      <c r="F67" s="53" t="s">
        <v>71</v>
      </c>
      <c r="G67" s="59">
        <f t="shared" ref="G67:G72" si="19" xml:space="preserve"> SUMIF($G$21:$G$33, +F67,$W$21:$W$33)*$D$63</f>
        <v>0</v>
      </c>
      <c r="H67" s="39">
        <f>+G67/$G$63</f>
        <v>0</v>
      </c>
    </row>
    <row r="68" spans="2:10" ht="20" customHeight="1" x14ac:dyDescent="0.35">
      <c r="F68" s="53" t="s">
        <v>72</v>
      </c>
      <c r="G68" s="59">
        <f t="shared" si="19"/>
        <v>0</v>
      </c>
      <c r="H68" s="39">
        <f t="shared" ref="H68:H73" si="20">+G68/$G$63</f>
        <v>0</v>
      </c>
    </row>
    <row r="69" spans="2:10" ht="20" customHeight="1" x14ac:dyDescent="0.35">
      <c r="F69" s="53" t="s">
        <v>73</v>
      </c>
      <c r="G69" s="59">
        <f t="shared" si="19"/>
        <v>0</v>
      </c>
      <c r="H69" s="39">
        <f t="shared" si="20"/>
        <v>0</v>
      </c>
    </row>
    <row r="70" spans="2:10" ht="20" customHeight="1" x14ac:dyDescent="0.35">
      <c r="F70" s="53" t="s">
        <v>74</v>
      </c>
      <c r="G70" s="59">
        <f t="shared" si="19"/>
        <v>0</v>
      </c>
      <c r="H70" s="39">
        <f t="shared" si="20"/>
        <v>0</v>
      </c>
    </row>
    <row r="71" spans="2:10" ht="20" customHeight="1" x14ac:dyDescent="0.35">
      <c r="F71" s="53" t="s">
        <v>75</v>
      </c>
      <c r="G71" s="59">
        <f t="shared" si="19"/>
        <v>0</v>
      </c>
      <c r="H71" s="39">
        <f t="shared" si="20"/>
        <v>0</v>
      </c>
    </row>
    <row r="72" spans="2:10" ht="20" customHeight="1" x14ac:dyDescent="0.35">
      <c r="F72" s="53" t="s">
        <v>76</v>
      </c>
      <c r="G72" s="59">
        <f t="shared" si="19"/>
        <v>0</v>
      </c>
      <c r="H72" s="39">
        <f t="shared" si="20"/>
        <v>0</v>
      </c>
    </row>
    <row r="73" spans="2:10" ht="20" customHeight="1" x14ac:dyDescent="0.35">
      <c r="F73" s="53" t="s">
        <v>146</v>
      </c>
      <c r="G73" s="111">
        <f>+SUM(G67:G72)</f>
        <v>0</v>
      </c>
      <c r="H73" s="39">
        <f t="shared" si="20"/>
        <v>0</v>
      </c>
    </row>
    <row r="74" spans="2:10" ht="15" thickBot="1" x14ac:dyDescent="0.4"/>
    <row r="75" spans="2:10" ht="30" customHeight="1" thickBot="1" x14ac:dyDescent="0.4">
      <c r="B75" s="69"/>
      <c r="C75" s="404" t="s">
        <v>149</v>
      </c>
      <c r="D75" s="404"/>
      <c r="E75" s="70"/>
      <c r="F75" s="70"/>
      <c r="G75" s="70"/>
      <c r="H75" s="70"/>
      <c r="I75" s="71"/>
      <c r="J75" s="72"/>
    </row>
    <row r="76" spans="2:10" ht="25.25" customHeight="1" x14ac:dyDescent="0.35">
      <c r="C76" s="53" t="s">
        <v>150</v>
      </c>
      <c r="D76" s="55">
        <f>SUMPRODUCT((LEFT(G21:G33, 8)="Roboshot") / (COUNTIF(G21:G33, G21:G33 &amp; "") + (G21:G33="")))</f>
        <v>0</v>
      </c>
      <c r="E76" s="406" t="s">
        <v>90</v>
      </c>
      <c r="F76" s="406"/>
      <c r="G76" s="56">
        <v>0.20833333333333334</v>
      </c>
    </row>
    <row r="77" spans="2:10" x14ac:dyDescent="0.35">
      <c r="C77" s="53"/>
      <c r="D77" s="55"/>
      <c r="E77" s="406" t="s">
        <v>97</v>
      </c>
      <c r="F77" s="406"/>
      <c r="G77" s="55">
        <v>12</v>
      </c>
      <c r="H77" s="60" t="s">
        <v>23</v>
      </c>
    </row>
    <row r="79" spans="2:10" x14ac:dyDescent="0.35">
      <c r="G79" s="38" t="s">
        <v>96</v>
      </c>
      <c r="H79" s="3" t="s">
        <v>23</v>
      </c>
    </row>
    <row r="80" spans="2:10" x14ac:dyDescent="0.35">
      <c r="F80" s="53" t="s">
        <v>77</v>
      </c>
      <c r="G80" s="59">
        <f xml:space="preserve"> SUMIF($G$21:$G$33, +F80,$X$21:$X$33)</f>
        <v>0</v>
      </c>
      <c r="H80" s="39">
        <f>+G80/$G$77</f>
        <v>0</v>
      </c>
    </row>
    <row r="81" spans="6:8" x14ac:dyDescent="0.35">
      <c r="F81" s="53" t="s">
        <v>78</v>
      </c>
      <c r="G81" s="59">
        <f xml:space="preserve"> SUMIF($G$21:$G$33, +F81,$X$21:$X$33)</f>
        <v>0</v>
      </c>
      <c r="H81" s="39">
        <f t="shared" ref="H81:H82" si="21">+G81/$G$77</f>
        <v>0</v>
      </c>
    </row>
    <row r="82" spans="6:8" x14ac:dyDescent="0.35">
      <c r="F82" s="53" t="s">
        <v>79</v>
      </c>
      <c r="G82" s="59">
        <f xml:space="preserve"> SUMIF($G$21:$G$33, +F82,$X$21:$X$33)</f>
        <v>0</v>
      </c>
      <c r="H82" s="39">
        <f t="shared" si="21"/>
        <v>0</v>
      </c>
    </row>
    <row r="83" spans="6:8" x14ac:dyDescent="0.35">
      <c r="F83" s="53" t="s">
        <v>146</v>
      </c>
      <c r="G83" s="111">
        <f>+SUM(G80:G82)</f>
        <v>0</v>
      </c>
      <c r="H83" s="39">
        <f>+G83/$G$77</f>
        <v>0</v>
      </c>
    </row>
  </sheetData>
  <mergeCells count="35">
    <mergeCell ref="C36:D36"/>
    <mergeCell ref="G36:H36"/>
    <mergeCell ref="I36:J36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  <mergeCell ref="C75:D75"/>
    <mergeCell ref="E76:F76"/>
    <mergeCell ref="C47:D47"/>
    <mergeCell ref="E48:F48"/>
    <mergeCell ref="E49:F49"/>
    <mergeCell ref="E50:F50"/>
    <mergeCell ref="E51:F51"/>
    <mergeCell ref="C61:D61"/>
    <mergeCell ref="E77:F77"/>
    <mergeCell ref="K36:L36"/>
    <mergeCell ref="E62:F62"/>
    <mergeCell ref="E63:F63"/>
    <mergeCell ref="E64:F64"/>
    <mergeCell ref="E65:F65"/>
    <mergeCell ref="E42:G42"/>
    <mergeCell ref="E43:G43"/>
    <mergeCell ref="E37:F37"/>
    <mergeCell ref="E38:F38"/>
    <mergeCell ref="E39:F39"/>
    <mergeCell ref="E44:G44"/>
    <mergeCell ref="E45:G45"/>
  </mergeCells>
  <conditionalFormatting sqref="H38:H39 J38:J39">
    <cfRule type="cellIs" dxfId="1175" priority="19" operator="greaterThan">
      <formula>0.9</formula>
    </cfRule>
    <cfRule type="cellIs" dxfId="1174" priority="20" operator="between">
      <formula>0.81</formula>
      <formula>0.89</formula>
    </cfRule>
    <cfRule type="cellIs" dxfId="1173" priority="21" operator="lessThan">
      <formula>0.8</formula>
    </cfRule>
  </conditionalFormatting>
  <conditionalFormatting sqref="H50:H51">
    <cfRule type="cellIs" dxfId="1172" priority="22" operator="greaterThan">
      <formula>0.9</formula>
    </cfRule>
    <cfRule type="cellIs" dxfId="1171" priority="23" operator="between">
      <formula>0.81</formula>
      <formula>0.89</formula>
    </cfRule>
    <cfRule type="cellIs" dxfId="1170" priority="24" operator="lessThan">
      <formula>0.8</formula>
    </cfRule>
  </conditionalFormatting>
  <conditionalFormatting sqref="H53:H59">
    <cfRule type="cellIs" dxfId="1169" priority="25" operator="greaterThan">
      <formula>0.9</formula>
    </cfRule>
    <cfRule type="cellIs" dxfId="1168" priority="26" operator="between">
      <formula>0.81</formula>
      <formula>0.89</formula>
    </cfRule>
    <cfRule type="cellIs" dxfId="1167" priority="27" operator="lessThan">
      <formula>0.8</formula>
    </cfRule>
  </conditionalFormatting>
  <conditionalFormatting sqref="H64:H65">
    <cfRule type="cellIs" dxfId="1166" priority="13" operator="greaterThan">
      <formula>0.9</formula>
    </cfRule>
    <cfRule type="cellIs" dxfId="1165" priority="14" operator="between">
      <formula>0.81</formula>
      <formula>0.89</formula>
    </cfRule>
    <cfRule type="cellIs" dxfId="1164" priority="15" operator="lessThan">
      <formula>0.8</formula>
    </cfRule>
  </conditionalFormatting>
  <conditionalFormatting sqref="H67:H73">
    <cfRule type="cellIs" dxfId="1163" priority="16" operator="greaterThan">
      <formula>0.9</formula>
    </cfRule>
    <cfRule type="cellIs" dxfId="1162" priority="17" operator="between">
      <formula>0.81</formula>
      <formula>0.89</formula>
    </cfRule>
    <cfRule type="cellIs" dxfId="1161" priority="18" operator="lessThan">
      <formula>0.8</formula>
    </cfRule>
  </conditionalFormatting>
  <conditionalFormatting sqref="H80:H83">
    <cfRule type="cellIs" dxfId="1160" priority="10" operator="greaterThan">
      <formula>0.9</formula>
    </cfRule>
    <cfRule type="cellIs" dxfId="1159" priority="11" operator="between">
      <formula>0.81</formula>
      <formula>0.89</formula>
    </cfRule>
    <cfRule type="cellIs" dxfId="1158" priority="12" operator="lessThan">
      <formula>0.8</formula>
    </cfRule>
  </conditionalFormatting>
  <conditionalFormatting sqref="L38:L39">
    <cfRule type="cellIs" dxfId="1157" priority="1" operator="greaterThan">
      <formula>0.9</formula>
    </cfRule>
    <cfRule type="cellIs" dxfId="1156" priority="2" operator="between">
      <formula>0.81</formula>
      <formula>0.89</formula>
    </cfRule>
    <cfRule type="cellIs" dxfId="1155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10C288-969C-4E64-924A-99171957E5A6}">
          <x14:formula1>
            <xm:f>Datos!$F$3:$F$41</xm:f>
          </x14:formula1>
          <xm:sqref>G21:G26 G29:G34</xm:sqref>
        </x14:dataValidation>
        <x14:dataValidation type="list" allowBlank="1" showInputMessage="1" showErrorMessage="1" xr:uid="{D031535A-490E-4A37-A3D7-260E6BE151B4}">
          <x14:formula1>
            <xm:f>Datos!$W$3:$W$12</xm:f>
          </x14:formula1>
          <xm:sqref>L21:L26 L29:L34</xm:sqref>
        </x14:dataValidation>
        <x14:dataValidation type="list" allowBlank="1" showInputMessage="1" showErrorMessage="1" xr:uid="{A18BA593-0D19-40A0-B41E-9665BC96AF7F}">
          <x14:formula1>
            <xm:f>Datos!$D$3:$D$27</xm:f>
          </x14:formula1>
          <xm:sqref>F21:F26 F29:F34</xm:sqref>
        </x14:dataValidation>
        <x14:dataValidation type="list" allowBlank="1" showInputMessage="1" showErrorMessage="1" xr:uid="{4F1D0C9B-FC28-4383-B196-8D19FF61B142}">
          <x14:formula1>
            <xm:f>Datos!$B$3:$B$8</xm:f>
          </x14:formula1>
          <xm:sqref>E21:E26 E29:E34</xm:sqref>
        </x14:dataValidation>
        <x14:dataValidation type="list" allowBlank="1" showInputMessage="1" showErrorMessage="1" xr:uid="{1B600E9E-7F00-448F-AB85-2F46AAD81AFA}">
          <x14:formula1>
            <xm:f>Datos!$H$3:$H$26</xm:f>
          </x14:formula1>
          <xm:sqref>D21:D26 D29:D34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0F68B-43ED-47B8-A975-4C0DB372D79A}">
  <sheetPr>
    <pageSetUpPr fitToPage="1"/>
  </sheetPr>
  <dimension ref="B1:X83"/>
  <sheetViews>
    <sheetView showGridLines="0" topLeftCell="A19" zoomScale="85" zoomScaleNormal="85" zoomScaleSheetLayoutView="50" workbookViewId="0">
      <pane xSplit="3" ySplit="2" topLeftCell="D31" activePane="bottomRight" state="frozen"/>
      <selection activeCell="A19" sqref="A19"/>
      <selection pane="topRight" activeCell="D19" sqref="D19"/>
      <selection pane="bottomLeft" activeCell="A21" sqref="A21"/>
      <selection pane="bottomRight" activeCell="M45" sqref="M45"/>
    </sheetView>
  </sheetViews>
  <sheetFormatPr baseColWidth="10" defaultRowHeight="14.5" x14ac:dyDescent="0.35"/>
  <cols>
    <col min="1" max="1" width="2.81640625" customWidth="1"/>
    <col min="2" max="2" width="8.81640625" bestFit="1" customWidth="1"/>
    <col min="3" max="3" width="32.81640625" bestFit="1" customWidth="1"/>
    <col min="4" max="4" width="24.08984375" customWidth="1"/>
    <col min="5" max="5" width="13.36328125" bestFit="1" customWidth="1"/>
    <col min="6" max="6" width="19.453125" customWidth="1"/>
    <col min="7" max="7" width="21.81640625" customWidth="1"/>
    <col min="8" max="8" width="19.36328125" bestFit="1" customWidth="1"/>
    <col min="9" max="9" width="11.81640625" customWidth="1"/>
    <col min="10" max="10" width="20.6328125" customWidth="1"/>
    <col min="11" max="11" width="19.1796875" customWidth="1"/>
    <col min="12" max="12" width="22.453125" customWidth="1"/>
    <col min="13" max="13" width="19" customWidth="1"/>
    <col min="14" max="14" width="19.6328125" customWidth="1"/>
    <col min="15" max="15" width="55.90625" customWidth="1"/>
    <col min="16" max="16" width="25.453125" customWidth="1"/>
    <col min="17" max="17" width="12.6328125" customWidth="1"/>
    <col min="18" max="18" width="12.08984375" customWidth="1"/>
    <col min="19" max="19" width="19.54296875" customWidth="1"/>
    <col min="20" max="20" width="4" customWidth="1"/>
    <col min="21" max="21" width="20.54296875" customWidth="1"/>
    <col min="22" max="24" width="11.54296875" customWidth="1"/>
  </cols>
  <sheetData>
    <row r="1" spans="2:19" ht="24.5" hidden="1" customHeight="1" x14ac:dyDescent="0.35">
      <c r="B1" s="409"/>
      <c r="C1" s="410"/>
      <c r="D1" s="411"/>
      <c r="S1" s="1" t="s">
        <v>10</v>
      </c>
    </row>
    <row r="2" spans="2:19" ht="24.5" hidden="1" customHeight="1" x14ac:dyDescent="0.35">
      <c r="B2" s="412"/>
      <c r="C2" s="413"/>
      <c r="D2" s="414"/>
      <c r="E2" s="415" t="s">
        <v>0</v>
      </c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2"/>
    </row>
    <row r="3" spans="2:19" hidden="1" x14ac:dyDescent="0.35">
      <c r="B3" s="412"/>
      <c r="C3" s="413"/>
      <c r="D3" s="414"/>
      <c r="E3" s="415" t="s">
        <v>17</v>
      </c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6"/>
      <c r="S3" s="2" t="s">
        <v>1</v>
      </c>
    </row>
    <row r="4" spans="2:19" hidden="1" x14ac:dyDescent="0.35">
      <c r="B4" s="412"/>
      <c r="C4" s="413"/>
      <c r="D4" s="414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6"/>
      <c r="S4" s="19" t="s">
        <v>16</v>
      </c>
    </row>
    <row r="5" spans="2:19" ht="17" hidden="1" customHeight="1" x14ac:dyDescent="0.4">
      <c r="B5" s="20"/>
      <c r="C5" s="21"/>
      <c r="D5" s="22"/>
      <c r="E5" s="23"/>
      <c r="F5" s="23"/>
      <c r="G5" s="23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4"/>
    </row>
    <row r="6" spans="2:19" ht="17" hidden="1" customHeight="1" x14ac:dyDescent="0.4">
      <c r="B6" s="25"/>
      <c r="C6" s="61" t="s">
        <v>18</v>
      </c>
      <c r="D6" s="52"/>
      <c r="E6" s="10"/>
      <c r="F6" s="10"/>
      <c r="G6" s="10"/>
      <c r="H6" s="9"/>
      <c r="I6" s="9"/>
      <c r="J6" s="52"/>
      <c r="K6" s="420" t="s">
        <v>119</v>
      </c>
      <c r="L6" s="420"/>
      <c r="M6" s="48">
        <f>+G38</f>
        <v>0.65277777777777757</v>
      </c>
      <c r="O6" s="9"/>
      <c r="P6" s="9"/>
      <c r="Q6" s="9"/>
      <c r="R6" s="9"/>
      <c r="S6" s="26"/>
    </row>
    <row r="7" spans="2:19" ht="17" hidden="1" customHeight="1" x14ac:dyDescent="0.4">
      <c r="B7" s="25"/>
      <c r="C7" s="52" t="s">
        <v>19</v>
      </c>
      <c r="D7" s="52"/>
      <c r="E7" s="10"/>
      <c r="F7" s="10"/>
      <c r="G7" s="10"/>
      <c r="H7" s="9"/>
      <c r="I7" s="9"/>
      <c r="J7" s="52"/>
      <c r="K7" s="420" t="s">
        <v>117</v>
      </c>
      <c r="L7" s="420"/>
      <c r="M7" s="49">
        <f>+H39</f>
        <v>1</v>
      </c>
      <c r="O7" s="9"/>
      <c r="P7" s="9"/>
      <c r="Q7" s="9"/>
      <c r="R7" s="9"/>
      <c r="S7" s="26"/>
    </row>
    <row r="8" spans="2:19" ht="17" hidden="1" customHeight="1" x14ac:dyDescent="0.4">
      <c r="B8" s="25"/>
      <c r="C8" s="52" t="s">
        <v>20</v>
      </c>
      <c r="D8" s="52"/>
      <c r="E8" s="10"/>
      <c r="F8" s="10"/>
      <c r="G8" s="10"/>
      <c r="H8" s="9"/>
      <c r="I8" s="9"/>
      <c r="J8" s="52" t="s">
        <v>115</v>
      </c>
      <c r="K8" s="420" t="s">
        <v>118</v>
      </c>
      <c r="L8" s="420"/>
      <c r="M8" s="50">
        <f>+G59</f>
        <v>0</v>
      </c>
      <c r="O8" s="9"/>
      <c r="P8" s="9"/>
      <c r="Q8" s="9"/>
      <c r="R8" s="9"/>
      <c r="S8" s="26"/>
    </row>
    <row r="9" spans="2:19" ht="17" hidden="1" customHeight="1" x14ac:dyDescent="0.4">
      <c r="B9" s="25"/>
      <c r="C9" s="52" t="s">
        <v>21</v>
      </c>
      <c r="D9" s="52"/>
      <c r="E9" s="10"/>
      <c r="F9" s="10"/>
      <c r="G9" s="10"/>
      <c r="H9" s="9"/>
      <c r="I9" s="9"/>
      <c r="J9" s="52" t="s">
        <v>116</v>
      </c>
      <c r="K9" s="420" t="s">
        <v>147</v>
      </c>
      <c r="L9" s="420"/>
      <c r="M9" s="50">
        <f>+G73</f>
        <v>0</v>
      </c>
      <c r="O9" s="9"/>
      <c r="P9" s="9"/>
      <c r="Q9" s="9"/>
      <c r="R9" s="9"/>
      <c r="S9" s="26"/>
    </row>
    <row r="10" spans="2:19" ht="17" hidden="1" customHeight="1" x14ac:dyDescent="0.4">
      <c r="B10" s="25"/>
      <c r="C10" s="52"/>
      <c r="D10" s="52"/>
      <c r="E10" s="10"/>
      <c r="F10" s="10"/>
      <c r="G10" s="10"/>
      <c r="H10" s="9"/>
      <c r="I10" s="9"/>
      <c r="J10" s="52"/>
      <c r="K10" s="420" t="s">
        <v>148</v>
      </c>
      <c r="L10" s="420"/>
      <c r="M10" s="50">
        <f>+G83</f>
        <v>0</v>
      </c>
      <c r="O10" s="9"/>
      <c r="P10" s="9"/>
      <c r="Q10" s="9"/>
      <c r="R10" s="9"/>
      <c r="S10" s="26"/>
    </row>
    <row r="11" spans="2:19" ht="17" hidden="1" customHeight="1" x14ac:dyDescent="0.4">
      <c r="B11" s="25"/>
      <c r="C11" s="61"/>
      <c r="D11" s="52"/>
      <c r="E11" s="10"/>
      <c r="F11" s="10"/>
      <c r="G11" s="10"/>
      <c r="H11" s="9"/>
      <c r="I11" s="9"/>
      <c r="J11" s="52"/>
      <c r="K11" s="420" t="s">
        <v>120</v>
      </c>
      <c r="L11" s="420"/>
      <c r="M11" s="51" t="e">
        <f>+#REF!</f>
        <v>#REF!</v>
      </c>
      <c r="O11" s="9"/>
      <c r="P11" s="9"/>
      <c r="Q11" s="9"/>
      <c r="R11" s="9"/>
      <c r="S11" s="26"/>
    </row>
    <row r="12" spans="2:19" ht="17" hidden="1" customHeight="1" x14ac:dyDescent="0.4">
      <c r="B12" s="25"/>
      <c r="C12" s="52"/>
      <c r="D12" s="52"/>
      <c r="E12" s="10"/>
      <c r="F12" s="10"/>
      <c r="G12" s="10"/>
      <c r="H12" s="9"/>
      <c r="I12" s="9"/>
      <c r="J12" s="52"/>
      <c r="K12" s="420" t="s">
        <v>133</v>
      </c>
      <c r="L12" s="420"/>
      <c r="M12" s="62">
        <f>+D15+D16+D17+D18</f>
        <v>0</v>
      </c>
      <c r="O12" s="9"/>
      <c r="P12" s="9"/>
      <c r="Q12" s="9"/>
      <c r="R12" s="9"/>
      <c r="S12" s="26"/>
    </row>
    <row r="13" spans="2:19" ht="17" hidden="1" customHeight="1" x14ac:dyDescent="0.4">
      <c r="B13" s="27"/>
      <c r="C13" s="17"/>
      <c r="D13" s="28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30"/>
    </row>
    <row r="14" spans="2:19" ht="17" hidden="1" customHeight="1" x14ac:dyDescent="0.4">
      <c r="B14" s="426" t="s">
        <v>15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8"/>
    </row>
    <row r="15" spans="2:19" ht="21" hidden="1" customHeight="1" x14ac:dyDescent="0.35">
      <c r="B15" s="31" t="s">
        <v>6</v>
      </c>
      <c r="C15" s="11" t="s">
        <v>8</v>
      </c>
      <c r="D15" s="12">
        <f>+K15+P15</f>
        <v>0</v>
      </c>
      <c r="E15" s="12"/>
      <c r="F15" s="12"/>
      <c r="G15" s="12"/>
      <c r="H15" s="12" t="s">
        <v>11</v>
      </c>
      <c r="I15" s="12"/>
      <c r="J15" s="11" t="s">
        <v>8</v>
      </c>
      <c r="K15" s="12"/>
      <c r="L15" s="13"/>
      <c r="M15" s="13"/>
      <c r="N15" s="33" t="s">
        <v>13</v>
      </c>
      <c r="O15" s="11" t="s">
        <v>8</v>
      </c>
      <c r="P15" s="12"/>
      <c r="Q15" s="13"/>
      <c r="R15" s="12"/>
      <c r="S15" s="14"/>
    </row>
    <row r="16" spans="2:19" ht="21" hidden="1" customHeight="1" x14ac:dyDescent="0.35">
      <c r="B16" s="32"/>
      <c r="C16" s="15" t="s">
        <v>9</v>
      </c>
      <c r="D16" s="16">
        <f>+K16+P16</f>
        <v>0</v>
      </c>
      <c r="E16" s="16"/>
      <c r="F16" s="16"/>
      <c r="G16" s="16"/>
      <c r="H16" s="16"/>
      <c r="I16" s="16"/>
      <c r="J16" s="15" t="s">
        <v>9</v>
      </c>
      <c r="K16" s="16"/>
      <c r="L16" s="17"/>
      <c r="M16" s="17"/>
      <c r="N16" s="34"/>
      <c r="O16" s="15" t="s">
        <v>9</v>
      </c>
      <c r="P16" s="16"/>
      <c r="Q16" s="17"/>
      <c r="R16" s="16"/>
      <c r="S16" s="18"/>
    </row>
    <row r="17" spans="2:24" ht="21" hidden="1" customHeight="1" x14ac:dyDescent="0.35">
      <c r="B17" s="31" t="s">
        <v>7</v>
      </c>
      <c r="C17" s="11" t="s">
        <v>8</v>
      </c>
      <c r="D17" s="12">
        <f>+K17+P17</f>
        <v>0</v>
      </c>
      <c r="E17" s="12"/>
      <c r="F17" s="12"/>
      <c r="G17" s="12"/>
      <c r="H17" s="12" t="s">
        <v>12</v>
      </c>
      <c r="I17" s="12"/>
      <c r="J17" s="11" t="s">
        <v>8</v>
      </c>
      <c r="K17" s="12"/>
      <c r="L17" s="13"/>
      <c r="M17" s="13"/>
      <c r="N17" s="33" t="s">
        <v>14</v>
      </c>
      <c r="O17" s="11" t="s">
        <v>8</v>
      </c>
      <c r="P17" s="12"/>
      <c r="Q17" s="13"/>
      <c r="R17" s="12"/>
      <c r="S17" s="14"/>
    </row>
    <row r="18" spans="2:24" ht="21" hidden="1" customHeight="1" x14ac:dyDescent="0.35">
      <c r="B18" s="32"/>
      <c r="C18" s="15" t="s">
        <v>9</v>
      </c>
      <c r="D18" s="16">
        <f>+K18+P18</f>
        <v>0</v>
      </c>
      <c r="E18" s="16"/>
      <c r="F18" s="16"/>
      <c r="G18" s="16"/>
      <c r="H18" s="16"/>
      <c r="I18" s="16"/>
      <c r="J18" s="15" t="s">
        <v>9</v>
      </c>
      <c r="K18" s="16"/>
      <c r="L18" s="17"/>
      <c r="M18" s="17"/>
      <c r="N18" s="34"/>
      <c r="O18" s="15" t="s">
        <v>9</v>
      </c>
      <c r="P18" s="16"/>
      <c r="Q18" s="17"/>
      <c r="R18" s="16"/>
      <c r="S18" s="18"/>
    </row>
    <row r="19" spans="2:24" ht="17" customHeight="1" x14ac:dyDescent="0.4">
      <c r="B19" s="91" t="s">
        <v>158</v>
      </c>
      <c r="C19" s="63" t="s">
        <v>177</v>
      </c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3"/>
    </row>
    <row r="20" spans="2:24" ht="80.400000000000006" customHeight="1" x14ac:dyDescent="0.35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41" t="s">
        <v>131</v>
      </c>
      <c r="L20" s="47" t="s">
        <v>123</v>
      </c>
      <c r="M20" s="40" t="s">
        <v>134</v>
      </c>
      <c r="N20" s="41" t="s">
        <v>24</v>
      </c>
      <c r="O20" s="41" t="s">
        <v>130</v>
      </c>
      <c r="P20" s="40" t="s">
        <v>159</v>
      </c>
      <c r="Q20" s="40" t="s">
        <v>121</v>
      </c>
      <c r="R20" s="40" t="s">
        <v>4</v>
      </c>
      <c r="S20" s="41" t="s">
        <v>137</v>
      </c>
      <c r="U20" s="40" t="s">
        <v>109</v>
      </c>
      <c r="V20" s="41" t="s">
        <v>87</v>
      </c>
      <c r="W20" s="41" t="s">
        <v>128</v>
      </c>
      <c r="X20" s="41" t="s">
        <v>62</v>
      </c>
    </row>
    <row r="21" spans="2:24" ht="38" customHeight="1" x14ac:dyDescent="0.35">
      <c r="B21" s="4"/>
      <c r="C21" s="94" t="str">
        <f>+Datos!R2</f>
        <v>Ciclo Minero 10,0 x 7,2 m
Galería Inyección Principal</v>
      </c>
      <c r="D21" s="94" t="s">
        <v>173</v>
      </c>
      <c r="E21" s="4" t="s">
        <v>6</v>
      </c>
      <c r="F21" s="4" t="s">
        <v>165</v>
      </c>
      <c r="G21" s="4"/>
      <c r="H21" s="6">
        <v>0.875</v>
      </c>
      <c r="I21" s="6">
        <v>0.91666666666666663</v>
      </c>
      <c r="J21" s="36">
        <f t="shared" ref="J21:J25" si="0">MOD(I21-H21, 1)</f>
        <v>4.166666666666663E-2</v>
      </c>
      <c r="K21" s="96"/>
      <c r="L21" s="65"/>
      <c r="M21" s="66" t="s">
        <v>162</v>
      </c>
      <c r="N21" s="37">
        <v>1</v>
      </c>
      <c r="O21" s="37"/>
      <c r="P21" s="4"/>
      <c r="Q21" s="6"/>
      <c r="R21" s="6"/>
      <c r="S21" s="36">
        <f>+MOD(R21-Q21,1)</f>
        <v>0</v>
      </c>
      <c r="U21" s="126">
        <f>+IFERROR(VLOOKUP(D21,Datos!$R$3:$T$19,3,FALSE), "0")</f>
        <v>3.4227039361095259E-2</v>
      </c>
      <c r="V21" s="67" t="str">
        <f>IF(OR(D21="Perforación de Fortificación", D21="Perforación de Avance", D21="Perforación Desquinche"), K21*M21, "")</f>
        <v/>
      </c>
      <c r="W21" s="67" t="str">
        <f>IF(D21="Extracción de Marina Disparo",K21,"")</f>
        <v/>
      </c>
      <c r="X21" s="67" t="str">
        <f>IF(OR(D21="Shotcrete", D21="Pre Shotcrete"), K21, "")</f>
        <v/>
      </c>
    </row>
    <row r="22" spans="2:24" ht="38" customHeight="1" x14ac:dyDescent="0.35">
      <c r="B22" s="4"/>
      <c r="C22" s="94" t="str">
        <f>+C21</f>
        <v>Ciclo Minero 10,0 x 7,2 m
Galería Inyección Principal</v>
      </c>
      <c r="D22" s="94" t="s">
        <v>52</v>
      </c>
      <c r="E22" s="4" t="s">
        <v>6</v>
      </c>
      <c r="F22" s="4" t="s">
        <v>165</v>
      </c>
      <c r="G22" s="4" t="s">
        <v>211</v>
      </c>
      <c r="H22" s="6">
        <v>0.95833333333333337</v>
      </c>
      <c r="I22" s="6">
        <v>4.1666666666666664E-2</v>
      </c>
      <c r="J22" s="36">
        <f t="shared" si="0"/>
        <v>8.3333333333333259E-2</v>
      </c>
      <c r="K22" s="7">
        <f>21.75*3.2</f>
        <v>69.600000000000009</v>
      </c>
      <c r="L22" s="65" t="s">
        <v>126</v>
      </c>
      <c r="M22" s="66">
        <v>0</v>
      </c>
      <c r="N22" s="37">
        <v>1</v>
      </c>
      <c r="O22" s="37"/>
      <c r="P22" s="4"/>
      <c r="Q22" s="6"/>
      <c r="R22" s="4"/>
      <c r="S22" s="36">
        <f t="shared" ref="S22:S26" si="1">+MOD(R22-Q22,1)</f>
        <v>0</v>
      </c>
      <c r="U22" s="126">
        <f>+IFERROR(VLOOKUP(D22,Datos!$R$3:$T$19,3,FALSE), "0")</f>
        <v>6.8454078722190517E-2</v>
      </c>
      <c r="V22" s="67" t="str">
        <f t="shared" ref="V22:V26" si="2">IF(OR(D22="Perforación de Fortificación", D22="Perforación de Avance", D22="Perforación Desquinche"), K22*M22, "")</f>
        <v/>
      </c>
      <c r="W22" s="67" t="str">
        <f t="shared" ref="W22:W26" si="3">IF(D22="Extracción de Marina Disparo",K22,"")</f>
        <v/>
      </c>
      <c r="X22" s="67" t="str">
        <f t="shared" ref="X22:X26" si="4">IF(OR(D22="Shotcrete", D22="Pre Shotcrete"), K22, "")</f>
        <v/>
      </c>
    </row>
    <row r="23" spans="2:24" ht="38" customHeight="1" x14ac:dyDescent="0.35">
      <c r="B23" s="4"/>
      <c r="C23" s="94" t="str">
        <f t="shared" ref="C23:C25" si="5">+C22</f>
        <v>Ciclo Minero 10,0 x 7,2 m
Galería Inyección Principal</v>
      </c>
      <c r="D23" s="94" t="s">
        <v>59</v>
      </c>
      <c r="E23" s="4" t="s">
        <v>6</v>
      </c>
      <c r="F23" s="4" t="s">
        <v>165</v>
      </c>
      <c r="G23" s="4" t="s">
        <v>213</v>
      </c>
      <c r="H23" s="6">
        <v>5.2083333333333336E-2</v>
      </c>
      <c r="I23" s="6">
        <v>0.14583333333333334</v>
      </c>
      <c r="J23" s="36">
        <f t="shared" si="0"/>
        <v>9.375E-2</v>
      </c>
      <c r="K23" s="7"/>
      <c r="L23" s="65"/>
      <c r="M23" s="66"/>
      <c r="N23" s="37">
        <v>1</v>
      </c>
      <c r="O23" s="37"/>
      <c r="P23" s="4"/>
      <c r="Q23" s="4"/>
      <c r="R23" s="4"/>
      <c r="S23" s="36">
        <f t="shared" si="1"/>
        <v>0</v>
      </c>
      <c r="U23" s="126">
        <f>+IFERROR(VLOOKUP(D23,Datos!$R$3:$T$19,3,FALSE), "0")</f>
        <v>5.7045065601825425E-3</v>
      </c>
      <c r="V23" s="67" t="str">
        <f t="shared" si="2"/>
        <v/>
      </c>
      <c r="W23" s="67" t="str">
        <f t="shared" si="3"/>
        <v/>
      </c>
      <c r="X23" s="67" t="str">
        <f t="shared" si="4"/>
        <v/>
      </c>
    </row>
    <row r="24" spans="2:24" ht="38" customHeight="1" x14ac:dyDescent="0.35">
      <c r="B24" s="4"/>
      <c r="C24" s="94" t="str">
        <f t="shared" si="5"/>
        <v>Ciclo Minero 10,0 x 7,2 m
Galería Inyección Principal</v>
      </c>
      <c r="D24" s="94" t="s">
        <v>226</v>
      </c>
      <c r="E24" s="4" t="s">
        <v>6</v>
      </c>
      <c r="F24" s="4" t="s">
        <v>165</v>
      </c>
      <c r="G24" s="4" t="s">
        <v>203</v>
      </c>
      <c r="H24" s="6">
        <v>0.15625</v>
      </c>
      <c r="I24" s="6">
        <v>0.21180555555555555</v>
      </c>
      <c r="J24" s="36">
        <f t="shared" si="0"/>
        <v>5.5555555555555552E-2</v>
      </c>
      <c r="K24" s="7">
        <v>24</v>
      </c>
      <c r="L24" s="65" t="s">
        <v>138</v>
      </c>
      <c r="M24" s="66">
        <v>1.6</v>
      </c>
      <c r="N24" s="37">
        <v>1</v>
      </c>
      <c r="O24" s="37"/>
      <c r="P24" s="4"/>
      <c r="Q24" s="4"/>
      <c r="R24" s="4"/>
      <c r="S24" s="36">
        <f t="shared" si="1"/>
        <v>0</v>
      </c>
      <c r="U24" s="126" t="str">
        <f>+IFERROR(VLOOKUP(D24,Datos!$R$3:$T$19,3,FALSE), "0")</f>
        <v>0</v>
      </c>
      <c r="V24" s="67" t="str">
        <f t="shared" si="2"/>
        <v/>
      </c>
      <c r="W24" s="67" t="str">
        <f t="shared" si="3"/>
        <v/>
      </c>
      <c r="X24" s="67" t="str">
        <f t="shared" si="4"/>
        <v/>
      </c>
    </row>
    <row r="25" spans="2:24" ht="38" customHeight="1" x14ac:dyDescent="0.35">
      <c r="B25" s="4"/>
      <c r="C25" s="94" t="str">
        <f t="shared" si="5"/>
        <v>Ciclo Minero 10,0 x 7,2 m
Galería Inyección Principal</v>
      </c>
      <c r="D25" s="94" t="s">
        <v>227</v>
      </c>
      <c r="E25" s="4" t="s">
        <v>6</v>
      </c>
      <c r="F25" s="4" t="s">
        <v>165</v>
      </c>
      <c r="G25" s="4" t="s">
        <v>211</v>
      </c>
      <c r="H25" s="6">
        <v>0.21875</v>
      </c>
      <c r="I25" s="6">
        <v>0.27083333333333331</v>
      </c>
      <c r="J25" s="36">
        <f t="shared" si="0"/>
        <v>5.2083333333333315E-2</v>
      </c>
      <c r="K25" s="7">
        <v>24</v>
      </c>
      <c r="L25" s="65" t="s">
        <v>138</v>
      </c>
      <c r="M25" s="66"/>
      <c r="N25" s="37">
        <v>1</v>
      </c>
      <c r="O25" s="37"/>
      <c r="P25" s="4"/>
      <c r="Q25" s="4"/>
      <c r="R25" s="4"/>
      <c r="S25" s="36">
        <f t="shared" si="1"/>
        <v>0</v>
      </c>
      <c r="U25" s="126">
        <f>+IFERROR(VLOOKUP(D25,Datos!$R$3:$T$19,3,FALSE), "0")</f>
        <v>8.3285795778665142E-2</v>
      </c>
      <c r="V25" s="67" t="str">
        <f t="shared" si="2"/>
        <v/>
      </c>
      <c r="W25" s="67" t="str">
        <f t="shared" si="3"/>
        <v/>
      </c>
      <c r="X25" s="67" t="str">
        <f t="shared" si="4"/>
        <v/>
      </c>
    </row>
    <row r="26" spans="2:24" ht="38" customHeight="1" x14ac:dyDescent="0.35">
      <c r="B26" s="4"/>
      <c r="C26" s="94"/>
      <c r="D26" s="94"/>
      <c r="E26" s="4"/>
      <c r="F26" s="4"/>
      <c r="G26" s="4"/>
      <c r="H26" s="6"/>
      <c r="I26" s="6"/>
      <c r="J26" s="36">
        <f>SUM(J21:J25)</f>
        <v>0.32638888888888878</v>
      </c>
      <c r="K26" s="7"/>
      <c r="L26" s="65"/>
      <c r="M26" s="66"/>
      <c r="N26" s="37"/>
      <c r="O26" s="129"/>
      <c r="P26" s="4"/>
      <c r="Q26" s="4"/>
      <c r="R26" s="4"/>
      <c r="S26" s="36">
        <f t="shared" si="1"/>
        <v>0</v>
      </c>
      <c r="U26" s="45"/>
      <c r="V26" s="67" t="str">
        <f t="shared" si="2"/>
        <v/>
      </c>
      <c r="W26" s="67" t="str">
        <f t="shared" si="3"/>
        <v/>
      </c>
      <c r="X26" s="67" t="str">
        <f t="shared" si="4"/>
        <v/>
      </c>
    </row>
    <row r="27" spans="2:24" ht="17" x14ac:dyDescent="0.4">
      <c r="B27" s="90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41"/>
      <c r="L27" s="47"/>
      <c r="M27" s="40"/>
      <c r="N27" s="41"/>
      <c r="O27" s="41"/>
      <c r="P27" s="40"/>
      <c r="Q27" s="40"/>
      <c r="R27" s="40"/>
      <c r="S27" s="41"/>
      <c r="U27" s="40"/>
      <c r="V27" s="41"/>
      <c r="W27" s="41"/>
      <c r="X27" s="41"/>
    </row>
    <row r="28" spans="2:24" ht="72.5" x14ac:dyDescent="0.35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41" t="s">
        <v>131</v>
      </c>
      <c r="L28" s="47" t="s">
        <v>123</v>
      </c>
      <c r="M28" s="40" t="s">
        <v>134</v>
      </c>
      <c r="N28" s="41" t="s">
        <v>24</v>
      </c>
      <c r="O28" s="41" t="s">
        <v>130</v>
      </c>
      <c r="P28" s="40" t="s">
        <v>132</v>
      </c>
      <c r="Q28" s="40" t="s">
        <v>121</v>
      </c>
      <c r="R28" s="40" t="s">
        <v>4</v>
      </c>
      <c r="S28" s="41" t="s">
        <v>137</v>
      </c>
      <c r="U28" s="40" t="s">
        <v>109</v>
      </c>
      <c r="V28" s="41" t="s">
        <v>87</v>
      </c>
      <c r="W28" s="41" t="s">
        <v>128</v>
      </c>
      <c r="X28" s="41" t="s">
        <v>128</v>
      </c>
    </row>
    <row r="29" spans="2:24" ht="38" customHeight="1" x14ac:dyDescent="0.35">
      <c r="B29" s="4"/>
      <c r="C29" s="94" t="str">
        <f>+Datos!R23</f>
        <v>Ciclo Minero 5,2 x 5,6 m
Galería Acceso Portal de Servicio</v>
      </c>
      <c r="D29" s="94" t="s">
        <v>56</v>
      </c>
      <c r="E29" s="4" t="s">
        <v>6</v>
      </c>
      <c r="F29" s="4" t="s">
        <v>166</v>
      </c>
      <c r="G29" s="4" t="s">
        <v>209</v>
      </c>
      <c r="H29" s="6">
        <v>0.875</v>
      </c>
      <c r="I29" s="6">
        <v>0.95833333333333337</v>
      </c>
      <c r="J29" s="36">
        <f t="shared" ref="J29:J33" si="6">MOD(I29-H29, 1)</f>
        <v>8.333333333333337E-2</v>
      </c>
      <c r="K29" s="7">
        <v>0</v>
      </c>
      <c r="L29" s="65"/>
      <c r="M29" s="66">
        <v>0</v>
      </c>
      <c r="N29" s="37">
        <v>1</v>
      </c>
      <c r="O29" s="95"/>
      <c r="P29" s="4"/>
      <c r="Q29" s="6"/>
      <c r="R29" s="6"/>
      <c r="S29" s="36">
        <f>+MOD(R29-Q29,1)</f>
        <v>0</v>
      </c>
      <c r="U29" s="124">
        <f>+IFERROR(VLOOKUP(D29,Datos!$R$24:$T$40,3,FALSE), "0")</f>
        <v>5.5718475073313775E-2</v>
      </c>
      <c r="V29" s="67" t="str">
        <f t="shared" ref="V29:V34" si="7">IF(OR(D29="Perforación de Fortificación", D29="Perforación de Avance", D29="Perforación Desquinche"), K29*M29, "")</f>
        <v/>
      </c>
      <c r="W29" s="67" t="str">
        <f>IF(D29="Extracción de Marina Disparo",K29,"")</f>
        <v/>
      </c>
      <c r="X29" s="67" t="str">
        <f t="shared" ref="X29:X34" si="8">IF(OR(D29="Shotcrete", D29="Pre Shotcrete"), K29, "")</f>
        <v/>
      </c>
    </row>
    <row r="30" spans="2:24" ht="38" customHeight="1" x14ac:dyDescent="0.35">
      <c r="B30" s="4"/>
      <c r="C30" s="94" t="str">
        <f>+C29</f>
        <v>Ciclo Minero 5,2 x 5,6 m
Galería Acceso Portal de Servicio</v>
      </c>
      <c r="D30" s="94" t="s">
        <v>59</v>
      </c>
      <c r="E30" s="4" t="s">
        <v>6</v>
      </c>
      <c r="F30" s="4" t="s">
        <v>166</v>
      </c>
      <c r="G30" s="4" t="s">
        <v>213</v>
      </c>
      <c r="H30" s="6">
        <v>0.95833333333333337</v>
      </c>
      <c r="I30" s="6">
        <v>0.97916666666666663</v>
      </c>
      <c r="J30" s="36">
        <f t="shared" si="6"/>
        <v>2.0833333333333259E-2</v>
      </c>
      <c r="K30" s="7"/>
      <c r="L30" s="65"/>
      <c r="M30" s="66">
        <v>0</v>
      </c>
      <c r="N30" s="37">
        <v>1</v>
      </c>
      <c r="O30" s="37"/>
      <c r="P30" s="4"/>
      <c r="Q30" s="4"/>
      <c r="R30" s="4"/>
      <c r="S30" s="36">
        <f t="shared" ref="S30:S34" si="9">+MOD(R30-Q30,1)</f>
        <v>0</v>
      </c>
      <c r="U30" s="124">
        <f>+IFERROR(VLOOKUP(D30,Datos!$R$24:$T$40,3,FALSE), "0")</f>
        <v>9.7751710654936444E-3</v>
      </c>
      <c r="V30" s="67" t="str">
        <f t="shared" si="7"/>
        <v/>
      </c>
      <c r="W30" s="67" t="str">
        <f t="shared" ref="W30:W34" si="10">IF(D30="Extracción de Marina Disparo",K30,"")</f>
        <v/>
      </c>
      <c r="X30" s="67" t="str">
        <f t="shared" si="8"/>
        <v/>
      </c>
    </row>
    <row r="31" spans="2:24" ht="38" customHeight="1" x14ac:dyDescent="0.35">
      <c r="B31" s="4"/>
      <c r="C31" s="94" t="str">
        <f t="shared" ref="C31:C34" si="11">+C30</f>
        <v>Ciclo Minero 5,2 x 5,6 m
Galería Acceso Portal de Servicio</v>
      </c>
      <c r="D31" s="94" t="s">
        <v>173</v>
      </c>
      <c r="E31" s="4" t="s">
        <v>6</v>
      </c>
      <c r="F31" s="4" t="s">
        <v>166</v>
      </c>
      <c r="G31" s="4"/>
      <c r="H31" s="6">
        <v>0</v>
      </c>
      <c r="I31" s="6">
        <v>4.1666666666666664E-2</v>
      </c>
      <c r="J31" s="36">
        <f t="shared" si="6"/>
        <v>4.1666666666666664E-2</v>
      </c>
      <c r="K31" s="7"/>
      <c r="L31" s="65"/>
      <c r="M31" s="66">
        <v>0</v>
      </c>
      <c r="N31" s="37">
        <v>1</v>
      </c>
      <c r="O31" s="37"/>
      <c r="P31" s="4"/>
      <c r="Q31" s="4"/>
      <c r="R31" s="4"/>
      <c r="S31" s="36">
        <f t="shared" si="9"/>
        <v>0</v>
      </c>
      <c r="U31" s="124">
        <f>+IFERROR(VLOOKUP(D31,Datos!$R$24:$T$40,3,FALSE), "0")</f>
        <v>4.1055718475073312E-2</v>
      </c>
      <c r="V31" s="67" t="str">
        <f t="shared" si="7"/>
        <v/>
      </c>
      <c r="W31" s="67" t="str">
        <f t="shared" si="10"/>
        <v/>
      </c>
      <c r="X31" s="67" t="str">
        <f t="shared" si="8"/>
        <v/>
      </c>
    </row>
    <row r="32" spans="2:24" ht="38" customHeight="1" x14ac:dyDescent="0.35">
      <c r="B32" s="4"/>
      <c r="C32" s="94" t="str">
        <f t="shared" si="11"/>
        <v>Ciclo Minero 5,2 x 5,6 m
Galería Acceso Portal de Servicio</v>
      </c>
      <c r="D32" s="94" t="s">
        <v>57</v>
      </c>
      <c r="E32" s="4" t="s">
        <v>6</v>
      </c>
      <c r="F32" s="4" t="s">
        <v>166</v>
      </c>
      <c r="G32" s="4" t="s">
        <v>202</v>
      </c>
      <c r="H32" s="6">
        <v>6.25E-2</v>
      </c>
      <c r="I32" s="6">
        <v>0.16666666666666666</v>
      </c>
      <c r="J32" s="36">
        <f t="shared" si="6"/>
        <v>0.10416666666666666</v>
      </c>
      <c r="K32" s="7">
        <v>26</v>
      </c>
      <c r="L32" s="65" t="s">
        <v>125</v>
      </c>
      <c r="M32" s="66">
        <v>3</v>
      </c>
      <c r="N32" s="37">
        <v>1</v>
      </c>
      <c r="O32" s="37"/>
      <c r="P32" s="4"/>
      <c r="Q32" s="4"/>
      <c r="R32" s="4"/>
      <c r="S32" s="36">
        <f t="shared" si="9"/>
        <v>0</v>
      </c>
      <c r="U32" s="124">
        <f>+IFERROR(VLOOKUP(D32,Datos!$R$24:$T$40,3,FALSE), "0")</f>
        <v>7.42913000977517E-2</v>
      </c>
      <c r="V32" s="67">
        <f t="shared" si="7"/>
        <v>78</v>
      </c>
      <c r="W32" s="67" t="str">
        <f t="shared" si="10"/>
        <v/>
      </c>
      <c r="X32" s="67" t="str">
        <f t="shared" si="8"/>
        <v/>
      </c>
    </row>
    <row r="33" spans="2:24" ht="38" customHeight="1" x14ac:dyDescent="0.35">
      <c r="B33" s="4"/>
      <c r="C33" s="94" t="str">
        <f t="shared" si="11"/>
        <v>Ciclo Minero 5,2 x 5,6 m
Galería Acceso Portal de Servicio</v>
      </c>
      <c r="D33" s="94" t="s">
        <v>54</v>
      </c>
      <c r="E33" s="4" t="s">
        <v>6</v>
      </c>
      <c r="F33" s="4" t="s">
        <v>166</v>
      </c>
      <c r="G33" s="4" t="s">
        <v>210</v>
      </c>
      <c r="H33" s="6">
        <v>0.17708333333333334</v>
      </c>
      <c r="I33" s="6">
        <v>0.25</v>
      </c>
      <c r="J33" s="36">
        <f t="shared" si="6"/>
        <v>7.2916666666666657E-2</v>
      </c>
      <c r="K33" s="7">
        <v>26</v>
      </c>
      <c r="L33" s="65" t="s">
        <v>125</v>
      </c>
      <c r="M33" s="66">
        <v>3</v>
      </c>
      <c r="N33" s="37">
        <v>1</v>
      </c>
      <c r="O33" s="37"/>
      <c r="P33" s="4"/>
      <c r="Q33" s="4"/>
      <c r="R33" s="4"/>
      <c r="S33" s="36">
        <f t="shared" si="9"/>
        <v>0</v>
      </c>
      <c r="U33" s="45">
        <f>+IFERROR(VLOOKUP(D33,Datos!$R$24:$T$40,3,FALSE), "0")</f>
        <v>0.14662756598240467</v>
      </c>
      <c r="V33" s="67" t="str">
        <f t="shared" si="7"/>
        <v/>
      </c>
      <c r="W33" s="67" t="str">
        <f t="shared" si="10"/>
        <v/>
      </c>
      <c r="X33" s="67" t="str">
        <f t="shared" si="8"/>
        <v/>
      </c>
    </row>
    <row r="34" spans="2:24" ht="38" customHeight="1" x14ac:dyDescent="0.35">
      <c r="B34" s="4"/>
      <c r="C34" s="94" t="str">
        <f t="shared" si="11"/>
        <v>Ciclo Minero 5,2 x 5,6 m
Galería Acceso Portal de Servicio</v>
      </c>
      <c r="D34" s="94"/>
      <c r="E34" s="4"/>
      <c r="F34" s="4"/>
      <c r="G34" s="4"/>
      <c r="H34" s="6"/>
      <c r="I34" s="4"/>
      <c r="J34" s="36">
        <f>SUM(J29:J33)</f>
        <v>0.32291666666666663</v>
      </c>
      <c r="K34" s="7"/>
      <c r="L34" s="65"/>
      <c r="M34" s="66"/>
      <c r="N34" s="37"/>
      <c r="O34" s="129" t="s">
        <v>222</v>
      </c>
      <c r="P34" s="4"/>
      <c r="Q34" s="4"/>
      <c r="R34" s="4"/>
      <c r="S34" s="36">
        <f t="shared" si="9"/>
        <v>0</v>
      </c>
      <c r="U34" s="45">
        <f>SUM(Datos!T25:T34)-SUM(U29:U33)</f>
        <v>0.14662756598240473</v>
      </c>
      <c r="V34" s="67" t="str">
        <f t="shared" si="7"/>
        <v/>
      </c>
      <c r="W34" s="67" t="str">
        <f t="shared" si="10"/>
        <v/>
      </c>
      <c r="X34" s="67" t="str">
        <f t="shared" si="8"/>
        <v/>
      </c>
    </row>
    <row r="35" spans="2:24" ht="15.65" customHeight="1" thickBot="1" x14ac:dyDescent="0.4">
      <c r="B35" s="5"/>
      <c r="C35" s="5"/>
      <c r="D35" s="5"/>
      <c r="E35" s="5"/>
      <c r="F35" s="5"/>
      <c r="G35" s="5"/>
      <c r="H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2:24" ht="30" customHeight="1" thickBot="1" x14ac:dyDescent="0.4">
      <c r="B36" s="69"/>
      <c r="C36" s="404" t="s">
        <v>64</v>
      </c>
      <c r="D36" s="404"/>
      <c r="E36" s="70"/>
      <c r="F36" s="70"/>
      <c r="G36" s="424">
        <v>3500</v>
      </c>
      <c r="H36" s="425"/>
      <c r="I36" s="424">
        <v>3700</v>
      </c>
      <c r="J36" s="425"/>
      <c r="K36" s="429" t="s">
        <v>146</v>
      </c>
      <c r="L36" s="430"/>
      <c r="M36" s="5"/>
      <c r="N36" s="5"/>
      <c r="O36" s="5"/>
      <c r="P36" s="5"/>
      <c r="Q36" s="5"/>
      <c r="R36" s="5"/>
      <c r="S36" s="5"/>
    </row>
    <row r="37" spans="2:24" ht="30" customHeight="1" x14ac:dyDescent="0.35">
      <c r="C37" s="54" t="s">
        <v>48</v>
      </c>
      <c r="D37" s="55">
        <f>SUMPRODUCT((LEFT(F21:F33, 1)="C") / (COUNTIF(F21:F33, F21:F33 &amp; "") + (F21:F33="")))</f>
        <v>0</v>
      </c>
      <c r="E37" s="406" t="s">
        <v>90</v>
      </c>
      <c r="F37" s="406"/>
      <c r="G37" s="82">
        <v>0.26041666666666669</v>
      </c>
      <c r="H37" s="105" t="s">
        <v>23</v>
      </c>
      <c r="I37" s="82">
        <v>0.26041666666666669</v>
      </c>
      <c r="J37" s="105" t="s">
        <v>23</v>
      </c>
      <c r="K37" s="101">
        <f>+G37</f>
        <v>0.26041666666666669</v>
      </c>
      <c r="L37" s="105" t="s">
        <v>23</v>
      </c>
      <c r="M37" s="5"/>
      <c r="N37" s="5"/>
      <c r="O37" s="5"/>
      <c r="P37" s="5"/>
      <c r="Q37" s="5"/>
      <c r="R37" s="5"/>
      <c r="S37" s="5"/>
    </row>
    <row r="38" spans="2:24" x14ac:dyDescent="0.35">
      <c r="C38" s="54" t="s">
        <v>49</v>
      </c>
      <c r="D38" s="55">
        <f>SUMPRODUCT((LEFT(F21:F33, 1)="O") / (COUNTIF(F21:F33, F21:F33 &amp; "") + (F21:F33="")))</f>
        <v>0</v>
      </c>
      <c r="E38" s="405" t="s">
        <v>198</v>
      </c>
      <c r="F38" s="405"/>
      <c r="G38" s="84">
        <f>SUM(J21:J26)</f>
        <v>0.65277777777777757</v>
      </c>
      <c r="H38" s="106">
        <f>+G38*24/($G$37*24)</f>
        <v>2.5066666666666659</v>
      </c>
      <c r="I38" s="84">
        <f>SUM(J29:J33)</f>
        <v>0.32291666666666663</v>
      </c>
      <c r="J38" s="106">
        <f>+I38*24/($I$37*24)</f>
        <v>1.2399999999999998</v>
      </c>
      <c r="K38" s="102">
        <f>AVERAGE(G38+I38)/2</f>
        <v>0.4878472222222221</v>
      </c>
      <c r="L38" s="106">
        <f>+K38*24/($K$37*24)</f>
        <v>1.8733333333333329</v>
      </c>
      <c r="M38" s="5"/>
      <c r="N38" s="5"/>
      <c r="O38" s="5"/>
      <c r="P38" s="5"/>
      <c r="Q38" s="5"/>
      <c r="R38" s="5"/>
      <c r="S38" s="5"/>
    </row>
    <row r="39" spans="2:24" ht="43.25" customHeight="1" thickBot="1" x14ac:dyDescent="0.4">
      <c r="E39" s="405" t="s">
        <v>94</v>
      </c>
      <c r="F39" s="405"/>
      <c r="G39" s="86"/>
      <c r="H39" s="107">
        <f>+AVERAGE(N21:N26)</f>
        <v>1</v>
      </c>
      <c r="I39" s="86"/>
      <c r="J39" s="107">
        <f>+AVERAGE(N29:N33)</f>
        <v>1</v>
      </c>
      <c r="K39" s="103"/>
      <c r="L39" s="107">
        <f>+AVERAGE(N21:N33)</f>
        <v>1</v>
      </c>
    </row>
    <row r="40" spans="2:24" ht="43.25" customHeight="1" x14ac:dyDescent="0.35">
      <c r="E40" s="79"/>
      <c r="F40" s="79"/>
      <c r="G40" s="80"/>
      <c r="H40" s="80"/>
      <c r="I40" s="78"/>
      <c r="J40" s="78"/>
      <c r="K40" s="78"/>
      <c r="L40" s="78"/>
    </row>
    <row r="41" spans="2:24" ht="43.25" customHeight="1" x14ac:dyDescent="0.35">
      <c r="E41" s="54"/>
      <c r="F41" s="54"/>
      <c r="G41" s="57"/>
      <c r="H41" s="53" t="s">
        <v>24</v>
      </c>
      <c r="I41" s="53" t="s">
        <v>199</v>
      </c>
      <c r="J41" s="53" t="s">
        <v>201</v>
      </c>
      <c r="K41" s="53" t="s">
        <v>200</v>
      </c>
      <c r="L41" s="345" t="s">
        <v>484</v>
      </c>
      <c r="M41" s="345" t="s">
        <v>485</v>
      </c>
      <c r="N41" s="53"/>
    </row>
    <row r="42" spans="2:24" x14ac:dyDescent="0.35">
      <c r="E42" s="421" t="s">
        <v>174</v>
      </c>
      <c r="F42" s="421"/>
      <c r="G42" s="421"/>
      <c r="H42" s="46">
        <f>SUMPRODUCT(N29:N33 * U29:U33 * (N29:N33&lt;&gt;"") * (U29:U33&lt;&gt;""))</f>
        <v>0.32746823069403708</v>
      </c>
      <c r="I42" s="108">
        <f>+H42*$J$42*$K$42</f>
        <v>7.3916129032258047</v>
      </c>
      <c r="J42" s="109">
        <v>6.6</v>
      </c>
      <c r="K42" s="110">
        <v>3.42</v>
      </c>
      <c r="L42" s="344">
        <v>56.080975609756102</v>
      </c>
      <c r="M42" s="344">
        <f>+L42*K42*H42</f>
        <v>62.807403476146192</v>
      </c>
    </row>
    <row r="43" spans="2:24" ht="14.4" customHeight="1" x14ac:dyDescent="0.35">
      <c r="E43" s="421" t="s">
        <v>175</v>
      </c>
      <c r="F43" s="421"/>
      <c r="G43" s="421"/>
      <c r="H43" s="46">
        <f>+SUMPRODUCT(N21:N25 * U21:U25 * (N21:N25&lt;&gt;"") * (U21:U25&lt;&gt;""))</f>
        <v>0.19167142042213348</v>
      </c>
      <c r="I43" s="108">
        <f>+H43*$J$43*$K$43</f>
        <v>7.7350918425556188</v>
      </c>
      <c r="J43" s="109">
        <v>11.8</v>
      </c>
      <c r="K43" s="110">
        <v>3.42</v>
      </c>
      <c r="L43" s="344">
        <v>118.52055555555555</v>
      </c>
      <c r="M43" s="344">
        <f>+L43*K43*H43</f>
        <v>77.692151055333696</v>
      </c>
    </row>
    <row r="44" spans="2:24" ht="14.4" customHeight="1" x14ac:dyDescent="0.35">
      <c r="E44" s="421" t="s">
        <v>224</v>
      </c>
      <c r="F44" s="421"/>
      <c r="G44" s="421"/>
      <c r="H44" s="46"/>
      <c r="I44" s="108">
        <f>+J44*K44</f>
        <v>0</v>
      </c>
      <c r="J44" s="128">
        <f>1892/1000000</f>
        <v>1.892E-3</v>
      </c>
      <c r="K44" s="127">
        <f>+((15*4.4)*2.72)*K31</f>
        <v>0</v>
      </c>
      <c r="L44" s="346">
        <v>1.6919982016368774E-2</v>
      </c>
      <c r="M44" s="344">
        <f>+L44*K44</f>
        <v>0</v>
      </c>
    </row>
    <row r="45" spans="2:24" ht="14.4" customHeight="1" x14ac:dyDescent="0.35">
      <c r="E45" s="421" t="s">
        <v>225</v>
      </c>
      <c r="F45" s="421"/>
      <c r="G45" s="421"/>
      <c r="H45" s="46"/>
      <c r="I45" s="108"/>
      <c r="J45" s="128">
        <f>+J44</f>
        <v>1.892E-3</v>
      </c>
      <c r="K45" s="110"/>
      <c r="L45" s="104"/>
      <c r="M45" s="352">
        <f>SUM(M42:M44)</f>
        <v>140.49955453147987</v>
      </c>
    </row>
    <row r="46" spans="2:24" ht="7.75" customHeight="1" thickBot="1" x14ac:dyDescent="0.4"/>
    <row r="47" spans="2:24" ht="30" customHeight="1" thickBot="1" x14ac:dyDescent="0.4">
      <c r="B47" s="69"/>
      <c r="C47" s="404" t="s">
        <v>88</v>
      </c>
      <c r="D47" s="404"/>
      <c r="E47" s="70"/>
      <c r="F47" s="70"/>
      <c r="G47" s="70"/>
      <c r="H47" s="70"/>
      <c r="I47" s="71"/>
      <c r="J47" s="72"/>
    </row>
    <row r="48" spans="2:24" ht="38" customHeight="1" x14ac:dyDescent="0.35">
      <c r="C48" s="58" t="s">
        <v>89</v>
      </c>
      <c r="D48" s="55">
        <f>SUMPRODUCT((LEFT(G21:G33, 5)="Jumbo") / (COUNTIF(G21:G33, G21:G33 &amp; "") + (G21:G33="")))</f>
        <v>2</v>
      </c>
      <c r="E48" s="406" t="s">
        <v>90</v>
      </c>
      <c r="F48" s="406"/>
      <c r="G48" s="56">
        <v>0.20833333333333334</v>
      </c>
      <c r="I48" s="3"/>
      <c r="J48" s="5"/>
    </row>
    <row r="49" spans="2:10" ht="38" customHeight="1" x14ac:dyDescent="0.35">
      <c r="E49" s="406" t="s">
        <v>93</v>
      </c>
      <c r="F49" s="406"/>
      <c r="G49" s="55">
        <f>15000/(60)</f>
        <v>250</v>
      </c>
      <c r="H49" s="60" t="s">
        <v>143</v>
      </c>
      <c r="I49" s="3"/>
      <c r="J49" s="5"/>
    </row>
    <row r="50" spans="2:10" ht="38" customHeight="1" x14ac:dyDescent="0.35">
      <c r="E50" s="405" t="s">
        <v>91</v>
      </c>
      <c r="F50" s="405"/>
      <c r="G50" s="57">
        <f>+SUM(SUMIF($G$21:$G$33, "Jumbo*", $J$21:$J$33))/SUMPRODUCT((LEFT(G21:G33, 5)="Jumbo") / (COUNTIF(G21:G33, G21:G33 &amp; "") + (G21:G33="")))</f>
        <v>7.9861111111111105E-2</v>
      </c>
      <c r="H50" s="39">
        <f>+G50*24/($G$48*24)</f>
        <v>0.3833333333333333</v>
      </c>
      <c r="I50" s="5"/>
      <c r="J50" s="5"/>
    </row>
    <row r="51" spans="2:10" ht="38" customHeight="1" x14ac:dyDescent="0.35">
      <c r="E51" s="405" t="s">
        <v>92</v>
      </c>
      <c r="F51" s="405"/>
      <c r="G51" s="59">
        <f>+SUM(V21:V33)/D48</f>
        <v>39</v>
      </c>
      <c r="H51" s="39">
        <f>+G51/G49</f>
        <v>0.156</v>
      </c>
      <c r="I51" s="5"/>
      <c r="J51" s="5"/>
    </row>
    <row r="52" spans="2:10" ht="38" customHeight="1" x14ac:dyDescent="0.35">
      <c r="G52" s="38" t="s">
        <v>87</v>
      </c>
      <c r="H52" s="3" t="s">
        <v>23</v>
      </c>
    </row>
    <row r="53" spans="2:10" ht="20" customHeight="1" x14ac:dyDescent="0.35">
      <c r="F53" s="53" t="s">
        <v>65</v>
      </c>
      <c r="G53" s="59">
        <f t="shared" ref="G53:G58" si="12" xml:space="preserve"> SUMIF($G$21:$G$33, +F53,$V$21:$V$33)</f>
        <v>0</v>
      </c>
      <c r="H53" s="39">
        <f t="shared" ref="H53:H58" si="13">+G53/$G$49</f>
        <v>0</v>
      </c>
    </row>
    <row r="54" spans="2:10" ht="20" customHeight="1" x14ac:dyDescent="0.35">
      <c r="F54" s="53" t="s">
        <v>66</v>
      </c>
      <c r="G54" s="59">
        <f t="shared" si="12"/>
        <v>0</v>
      </c>
      <c r="H54" s="39">
        <f t="shared" si="13"/>
        <v>0</v>
      </c>
    </row>
    <row r="55" spans="2:10" ht="20" customHeight="1" x14ac:dyDescent="0.35">
      <c r="F55" s="53" t="s">
        <v>67</v>
      </c>
      <c r="G55" s="59">
        <f t="shared" si="12"/>
        <v>0</v>
      </c>
      <c r="H55" s="39">
        <f t="shared" si="13"/>
        <v>0</v>
      </c>
    </row>
    <row r="56" spans="2:10" ht="20" customHeight="1" x14ac:dyDescent="0.35">
      <c r="F56" s="53" t="s">
        <v>68</v>
      </c>
      <c r="G56" s="59">
        <f t="shared" si="12"/>
        <v>0</v>
      </c>
      <c r="H56" s="39">
        <f t="shared" si="13"/>
        <v>0</v>
      </c>
    </row>
    <row r="57" spans="2:10" ht="20" customHeight="1" x14ac:dyDescent="0.35">
      <c r="F57" s="53" t="s">
        <v>69</v>
      </c>
      <c r="G57" s="59">
        <f t="shared" si="12"/>
        <v>0</v>
      </c>
      <c r="H57" s="39">
        <f t="shared" si="13"/>
        <v>0</v>
      </c>
    </row>
    <row r="58" spans="2:10" ht="20" customHeight="1" x14ac:dyDescent="0.35">
      <c r="F58" s="53" t="s">
        <v>70</v>
      </c>
      <c r="G58" s="59">
        <f t="shared" si="12"/>
        <v>0</v>
      </c>
      <c r="H58" s="39">
        <f t="shared" si="13"/>
        <v>0</v>
      </c>
    </row>
    <row r="59" spans="2:10" ht="20" customHeight="1" x14ac:dyDescent="0.35">
      <c r="F59" s="53" t="s">
        <v>146</v>
      </c>
      <c r="G59" s="111">
        <f>+SUM(G53:G58)</f>
        <v>0</v>
      </c>
      <c r="H59" s="39">
        <f>+G59/($G$49*$D$48)</f>
        <v>0</v>
      </c>
    </row>
    <row r="60" spans="2:10" ht="15" thickBot="1" x14ac:dyDescent="0.4"/>
    <row r="61" spans="2:10" ht="30" customHeight="1" thickBot="1" x14ac:dyDescent="0.4">
      <c r="B61" s="69"/>
      <c r="C61" s="404" t="s">
        <v>107</v>
      </c>
      <c r="D61" s="404"/>
      <c r="E61" s="70"/>
      <c r="F61" s="70"/>
      <c r="G61" s="70"/>
      <c r="H61" s="70"/>
      <c r="I61" s="71"/>
      <c r="J61" s="72"/>
    </row>
    <row r="62" spans="2:10" ht="38" customHeight="1" x14ac:dyDescent="0.35">
      <c r="C62" s="53" t="s">
        <v>95</v>
      </c>
      <c r="D62" s="55">
        <f>SUMPRODUCT((LEFT(G21:G33, 5)="Scoop") / (COUNTIF(G21:G33, G21:G33 &amp; "") + (G21:G33="")))</f>
        <v>0</v>
      </c>
      <c r="E62" s="406" t="s">
        <v>90</v>
      </c>
      <c r="F62" s="406"/>
      <c r="G62" s="56">
        <v>0.20833333333333334</v>
      </c>
      <c r="I62" s="3"/>
      <c r="J62" s="5"/>
    </row>
    <row r="63" spans="2:10" ht="38" customHeight="1" x14ac:dyDescent="0.35">
      <c r="C63" s="53" t="s">
        <v>145</v>
      </c>
      <c r="D63" s="55">
        <v>4.9000000000000004</v>
      </c>
      <c r="E63" s="406" t="s">
        <v>97</v>
      </c>
      <c r="F63" s="406"/>
      <c r="G63" s="55">
        <f>15000/(60)</f>
        <v>250</v>
      </c>
      <c r="H63" s="60" t="s">
        <v>23</v>
      </c>
      <c r="I63" s="3"/>
      <c r="J63" s="5"/>
    </row>
    <row r="64" spans="2:10" ht="38" customHeight="1" x14ac:dyDescent="0.35">
      <c r="E64" s="405" t="s">
        <v>98</v>
      </c>
      <c r="F64" s="405"/>
      <c r="G64" s="57" t="e">
        <f>+SUM(SUMIF($G$21:$G$33, "Scoop*", $J$21:$J$33))/SUMPRODUCT((LEFT(G21:G33, 5)="Scoop") / (COUNTIF(G21:G33, G21:G33 &amp; "") + (G21:G33="")))</f>
        <v>#DIV/0!</v>
      </c>
      <c r="H64" s="39" t="e">
        <f>+G64*24/($G$62*24)</f>
        <v>#DIV/0!</v>
      </c>
      <c r="I64" s="5"/>
      <c r="J64" s="5"/>
    </row>
    <row r="65" spans="2:10" ht="38" customHeight="1" x14ac:dyDescent="0.35">
      <c r="E65" s="405" t="s">
        <v>99</v>
      </c>
      <c r="F65" s="405"/>
      <c r="G65" s="59" t="e">
        <f>+SUM(W21:W33)*D63/D62</f>
        <v>#DIV/0!</v>
      </c>
      <c r="H65" s="39" t="e">
        <f>+G65/G63</f>
        <v>#DIV/0!</v>
      </c>
      <c r="I65" s="5"/>
      <c r="J65" s="5"/>
    </row>
    <row r="66" spans="2:10" ht="38" customHeight="1" x14ac:dyDescent="0.35">
      <c r="G66" s="38" t="s">
        <v>96</v>
      </c>
      <c r="H66" s="3" t="s">
        <v>23</v>
      </c>
    </row>
    <row r="67" spans="2:10" ht="20" customHeight="1" x14ac:dyDescent="0.35">
      <c r="F67" s="53" t="s">
        <v>71</v>
      </c>
      <c r="G67" s="59">
        <f t="shared" ref="G67:G72" si="14" xml:space="preserve"> SUMIF($G$21:$G$33, +F67,$W$21:$W$33)*$D$63</f>
        <v>0</v>
      </c>
      <c r="H67" s="39">
        <f>+G67/$G$63</f>
        <v>0</v>
      </c>
    </row>
    <row r="68" spans="2:10" ht="20" customHeight="1" x14ac:dyDescent="0.35">
      <c r="F68" s="53" t="s">
        <v>72</v>
      </c>
      <c r="G68" s="59">
        <f t="shared" si="14"/>
        <v>0</v>
      </c>
      <c r="H68" s="39">
        <f t="shared" ref="H68:H73" si="15">+G68/$G$63</f>
        <v>0</v>
      </c>
    </row>
    <row r="69" spans="2:10" ht="20" customHeight="1" x14ac:dyDescent="0.35">
      <c r="F69" s="53" t="s">
        <v>73</v>
      </c>
      <c r="G69" s="59">
        <f t="shared" si="14"/>
        <v>0</v>
      </c>
      <c r="H69" s="39">
        <f t="shared" si="15"/>
        <v>0</v>
      </c>
    </row>
    <row r="70" spans="2:10" ht="20" customHeight="1" x14ac:dyDescent="0.35">
      <c r="F70" s="53" t="s">
        <v>74</v>
      </c>
      <c r="G70" s="59">
        <f t="shared" si="14"/>
        <v>0</v>
      </c>
      <c r="H70" s="39">
        <f t="shared" si="15"/>
        <v>0</v>
      </c>
    </row>
    <row r="71" spans="2:10" ht="20" customHeight="1" x14ac:dyDescent="0.35">
      <c r="F71" s="53" t="s">
        <v>75</v>
      </c>
      <c r="G71" s="59">
        <f t="shared" si="14"/>
        <v>0</v>
      </c>
      <c r="H71" s="39">
        <f t="shared" si="15"/>
        <v>0</v>
      </c>
    </row>
    <row r="72" spans="2:10" ht="20" customHeight="1" x14ac:dyDescent="0.35">
      <c r="F72" s="53" t="s">
        <v>76</v>
      </c>
      <c r="G72" s="59">
        <f t="shared" si="14"/>
        <v>0</v>
      </c>
      <c r="H72" s="39">
        <f t="shared" si="15"/>
        <v>0</v>
      </c>
    </row>
    <row r="73" spans="2:10" ht="20" customHeight="1" x14ac:dyDescent="0.35">
      <c r="F73" s="53" t="s">
        <v>146</v>
      </c>
      <c r="G73" s="111">
        <f>+SUM(G67:G72)</f>
        <v>0</v>
      </c>
      <c r="H73" s="39">
        <f t="shared" si="15"/>
        <v>0</v>
      </c>
    </row>
    <row r="74" spans="2:10" ht="15" thickBot="1" x14ac:dyDescent="0.4"/>
    <row r="75" spans="2:10" ht="30" customHeight="1" thickBot="1" x14ac:dyDescent="0.4">
      <c r="B75" s="69"/>
      <c r="C75" s="404" t="s">
        <v>149</v>
      </c>
      <c r="D75" s="404"/>
      <c r="E75" s="70"/>
      <c r="F75" s="70"/>
      <c r="G75" s="70"/>
      <c r="H75" s="70"/>
      <c r="I75" s="71"/>
      <c r="J75" s="72"/>
    </row>
    <row r="76" spans="2:10" ht="25.25" customHeight="1" x14ac:dyDescent="0.35">
      <c r="C76" s="53" t="s">
        <v>150</v>
      </c>
      <c r="D76" s="55">
        <f>SUMPRODUCT((LEFT(G21:G33, 8)="Roboshot") / (COUNTIF(G21:G33, G21:G33 &amp; "") + (G21:G33="")))</f>
        <v>0</v>
      </c>
      <c r="E76" s="406" t="s">
        <v>90</v>
      </c>
      <c r="F76" s="406"/>
      <c r="G76" s="56">
        <v>0.20833333333333334</v>
      </c>
    </row>
    <row r="77" spans="2:10" x14ac:dyDescent="0.35">
      <c r="C77" s="53"/>
      <c r="D77" s="55"/>
      <c r="E77" s="406" t="s">
        <v>97</v>
      </c>
      <c r="F77" s="406"/>
      <c r="G77" s="55">
        <v>12</v>
      </c>
      <c r="H77" s="60" t="s">
        <v>23</v>
      </c>
    </row>
    <row r="79" spans="2:10" x14ac:dyDescent="0.35">
      <c r="G79" s="38" t="s">
        <v>96</v>
      </c>
      <c r="H79" s="3" t="s">
        <v>23</v>
      </c>
    </row>
    <row r="80" spans="2:10" x14ac:dyDescent="0.35">
      <c r="F80" s="53" t="s">
        <v>77</v>
      </c>
      <c r="G80" s="59">
        <f xml:space="preserve"> SUMIF($G$21:$G$33, +F80,$X$21:$X$33)</f>
        <v>0</v>
      </c>
      <c r="H80" s="39">
        <f>+G80/$G$77</f>
        <v>0</v>
      </c>
    </row>
    <row r="81" spans="6:8" x14ac:dyDescent="0.35">
      <c r="F81" s="53" t="s">
        <v>78</v>
      </c>
      <c r="G81" s="59">
        <f xml:space="preserve"> SUMIF($G$21:$G$33, +F81,$X$21:$X$33)</f>
        <v>0</v>
      </c>
      <c r="H81" s="39">
        <f t="shared" ref="H81:H82" si="16">+G81/$G$77</f>
        <v>0</v>
      </c>
    </row>
    <row r="82" spans="6:8" x14ac:dyDescent="0.35">
      <c r="F82" s="53" t="s">
        <v>79</v>
      </c>
      <c r="G82" s="59">
        <f xml:space="preserve"> SUMIF($G$21:$G$33, +F82,$X$21:$X$33)</f>
        <v>0</v>
      </c>
      <c r="H82" s="39">
        <f t="shared" si="16"/>
        <v>0</v>
      </c>
    </row>
    <row r="83" spans="6:8" x14ac:dyDescent="0.35">
      <c r="F83" s="53" t="s">
        <v>146</v>
      </c>
      <c r="G83" s="111">
        <f>+SUM(G80:G82)</f>
        <v>0</v>
      </c>
      <c r="H83" s="39">
        <f>+G83/$G$77</f>
        <v>0</v>
      </c>
    </row>
  </sheetData>
  <mergeCells count="35">
    <mergeCell ref="E77:F77"/>
    <mergeCell ref="C61:D61"/>
    <mergeCell ref="E62:F62"/>
    <mergeCell ref="E63:F63"/>
    <mergeCell ref="E64:F64"/>
    <mergeCell ref="E65:F65"/>
    <mergeCell ref="C75:D75"/>
    <mergeCell ref="C47:D47"/>
    <mergeCell ref="E48:F48"/>
    <mergeCell ref="E49:F49"/>
    <mergeCell ref="E50:F50"/>
    <mergeCell ref="E76:F76"/>
    <mergeCell ref="E51:F51"/>
    <mergeCell ref="E44:G44"/>
    <mergeCell ref="E45:G45"/>
    <mergeCell ref="C36:D36"/>
    <mergeCell ref="G36:H36"/>
    <mergeCell ref="I36:J36"/>
    <mergeCell ref="E37:F37"/>
    <mergeCell ref="E38:F38"/>
    <mergeCell ref="E39:F39"/>
    <mergeCell ref="E42:G42"/>
    <mergeCell ref="E43:G43"/>
    <mergeCell ref="K36:L36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38:H39 J38:J39">
    <cfRule type="cellIs" dxfId="1154" priority="13" operator="greaterThan">
      <formula>0.9</formula>
    </cfRule>
    <cfRule type="cellIs" dxfId="1153" priority="14" operator="between">
      <formula>0.81</formula>
      <formula>0.89</formula>
    </cfRule>
    <cfRule type="cellIs" dxfId="1152" priority="15" operator="lessThan">
      <formula>0.8</formula>
    </cfRule>
  </conditionalFormatting>
  <conditionalFormatting sqref="H50:H51">
    <cfRule type="cellIs" dxfId="1151" priority="16" operator="greaterThan">
      <formula>0.9</formula>
    </cfRule>
    <cfRule type="cellIs" dxfId="1150" priority="17" operator="between">
      <formula>0.81</formula>
      <formula>0.89</formula>
    </cfRule>
    <cfRule type="cellIs" dxfId="1149" priority="18" operator="lessThan">
      <formula>0.8</formula>
    </cfRule>
  </conditionalFormatting>
  <conditionalFormatting sqref="H53:H59">
    <cfRule type="cellIs" dxfId="1148" priority="19" operator="greaterThan">
      <formula>0.9</formula>
    </cfRule>
    <cfRule type="cellIs" dxfId="1147" priority="20" operator="between">
      <formula>0.81</formula>
      <formula>0.89</formula>
    </cfRule>
    <cfRule type="cellIs" dxfId="1146" priority="21" operator="lessThan">
      <formula>0.8</formula>
    </cfRule>
  </conditionalFormatting>
  <conditionalFormatting sqref="H64:H65">
    <cfRule type="cellIs" dxfId="1145" priority="7" operator="greaterThan">
      <formula>0.9</formula>
    </cfRule>
    <cfRule type="cellIs" dxfId="1144" priority="8" operator="between">
      <formula>0.81</formula>
      <formula>0.89</formula>
    </cfRule>
    <cfRule type="cellIs" dxfId="1143" priority="9" operator="lessThan">
      <formula>0.8</formula>
    </cfRule>
  </conditionalFormatting>
  <conditionalFormatting sqref="H67:H73">
    <cfRule type="cellIs" dxfId="1142" priority="10" operator="greaterThan">
      <formula>0.9</formula>
    </cfRule>
    <cfRule type="cellIs" dxfId="1141" priority="11" operator="between">
      <formula>0.81</formula>
      <formula>0.89</formula>
    </cfRule>
    <cfRule type="cellIs" dxfId="1140" priority="12" operator="lessThan">
      <formula>0.8</formula>
    </cfRule>
  </conditionalFormatting>
  <conditionalFormatting sqref="H80:H83">
    <cfRule type="cellIs" dxfId="1139" priority="4" operator="greaterThan">
      <formula>0.9</formula>
    </cfRule>
    <cfRule type="cellIs" dxfId="1138" priority="5" operator="between">
      <formula>0.81</formula>
      <formula>0.89</formula>
    </cfRule>
    <cfRule type="cellIs" dxfId="1137" priority="6" operator="lessThan">
      <formula>0.8</formula>
    </cfRule>
  </conditionalFormatting>
  <conditionalFormatting sqref="L38:L39">
    <cfRule type="cellIs" dxfId="1136" priority="1" operator="greaterThan">
      <formula>0.9</formula>
    </cfRule>
    <cfRule type="cellIs" dxfId="1135" priority="2" operator="between">
      <formula>0.81</formula>
      <formula>0.89</formula>
    </cfRule>
    <cfRule type="cellIs" dxfId="1134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B3441FB-7AA6-472B-971C-9E9835AC005E}">
          <x14:formula1>
            <xm:f>Datos!$B$3:$B$8</xm:f>
          </x14:formula1>
          <xm:sqref>E21:E26 E29:E34</xm:sqref>
        </x14:dataValidation>
        <x14:dataValidation type="list" allowBlank="1" showInputMessage="1" showErrorMessage="1" xr:uid="{F4D6807F-A5CD-49AD-ABBF-27D18A64CF7B}">
          <x14:formula1>
            <xm:f>Datos!$D$3:$D$27</xm:f>
          </x14:formula1>
          <xm:sqref>F21:F26 F29:F34</xm:sqref>
        </x14:dataValidation>
        <x14:dataValidation type="list" allowBlank="1" showInputMessage="1" showErrorMessage="1" xr:uid="{CC96AF39-FE4D-455F-AA22-B5E8AC14C400}">
          <x14:formula1>
            <xm:f>Datos!$W$3:$W$12</xm:f>
          </x14:formula1>
          <xm:sqref>L29:L34 L21:L26</xm:sqref>
        </x14:dataValidation>
        <x14:dataValidation type="list" allowBlank="1" showInputMessage="1" showErrorMessage="1" xr:uid="{B2A9A248-6859-48FF-BEB6-71B7608D4A09}">
          <x14:formula1>
            <xm:f>Datos!$F$3:$F$41</xm:f>
          </x14:formula1>
          <xm:sqref>G29:G34 G21:G26</xm:sqref>
        </x14:dataValidation>
        <x14:dataValidation type="list" allowBlank="1" showInputMessage="1" showErrorMessage="1" xr:uid="{F585465C-744F-4148-960E-EA24D161D615}">
          <x14:formula1>
            <xm:f>Datos!$H$3:$H$26</xm:f>
          </x14:formula1>
          <xm:sqref>D29:D34 D21:D26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6B6C2-B7A1-4F38-B9A1-DB5F02015610}">
  <sheetPr>
    <pageSetUpPr fitToPage="1"/>
  </sheetPr>
  <dimension ref="B1:X84"/>
  <sheetViews>
    <sheetView showGridLines="0" topLeftCell="A19" zoomScale="85" zoomScaleNormal="85" zoomScaleSheetLayoutView="50" workbookViewId="0">
      <pane xSplit="3" ySplit="2" topLeftCell="D33" activePane="bottomRight" state="frozen"/>
      <selection activeCell="A19" sqref="A19"/>
      <selection pane="topRight" activeCell="D19" sqref="D19"/>
      <selection pane="bottomLeft" activeCell="A21" sqref="A21"/>
      <selection pane="bottomRight" activeCell="M47" sqref="M47"/>
    </sheetView>
  </sheetViews>
  <sheetFormatPr baseColWidth="10" defaultRowHeight="14.5" x14ac:dyDescent="0.35"/>
  <cols>
    <col min="1" max="1" width="2.81640625" customWidth="1"/>
    <col min="2" max="2" width="8.81640625" bestFit="1" customWidth="1"/>
    <col min="3" max="3" width="32.81640625" bestFit="1" customWidth="1"/>
    <col min="4" max="4" width="24.08984375" customWidth="1"/>
    <col min="5" max="5" width="13.36328125" bestFit="1" customWidth="1"/>
    <col min="6" max="6" width="19.453125" customWidth="1"/>
    <col min="7" max="7" width="21.81640625" customWidth="1"/>
    <col min="8" max="8" width="19.36328125" bestFit="1" customWidth="1"/>
    <col min="9" max="9" width="11.81640625" customWidth="1"/>
    <col min="10" max="10" width="20.6328125" customWidth="1"/>
    <col min="11" max="11" width="19.1796875" customWidth="1"/>
    <col min="12" max="12" width="22.453125" customWidth="1"/>
    <col min="13" max="13" width="19" customWidth="1"/>
    <col min="14" max="14" width="19.6328125" customWidth="1"/>
    <col min="15" max="15" width="55.90625" customWidth="1"/>
    <col min="16" max="16" width="25.453125" customWidth="1"/>
    <col min="17" max="17" width="12.6328125" customWidth="1"/>
    <col min="18" max="18" width="12.08984375" customWidth="1"/>
    <col min="19" max="19" width="19.54296875" customWidth="1"/>
    <col min="20" max="20" width="4" customWidth="1"/>
    <col min="21" max="21" width="20.54296875" customWidth="1"/>
    <col min="22" max="24" width="11.54296875" customWidth="1"/>
  </cols>
  <sheetData>
    <row r="1" spans="2:19" ht="24.5" hidden="1" customHeight="1" x14ac:dyDescent="0.35">
      <c r="B1" s="409"/>
      <c r="C1" s="410"/>
      <c r="D1" s="411"/>
      <c r="S1" s="1" t="s">
        <v>10</v>
      </c>
    </row>
    <row r="2" spans="2:19" ht="24.5" hidden="1" customHeight="1" x14ac:dyDescent="0.35">
      <c r="B2" s="412"/>
      <c r="C2" s="413"/>
      <c r="D2" s="414"/>
      <c r="E2" s="415" t="s">
        <v>0</v>
      </c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2"/>
    </row>
    <row r="3" spans="2:19" hidden="1" x14ac:dyDescent="0.35">
      <c r="B3" s="412"/>
      <c r="C3" s="413"/>
      <c r="D3" s="414"/>
      <c r="E3" s="415" t="s">
        <v>17</v>
      </c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6"/>
      <c r="S3" s="2" t="s">
        <v>1</v>
      </c>
    </row>
    <row r="4" spans="2:19" hidden="1" x14ac:dyDescent="0.35">
      <c r="B4" s="412"/>
      <c r="C4" s="413"/>
      <c r="D4" s="414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6"/>
      <c r="S4" s="19" t="s">
        <v>16</v>
      </c>
    </row>
    <row r="5" spans="2:19" ht="17" hidden="1" customHeight="1" x14ac:dyDescent="0.4">
      <c r="B5" s="20"/>
      <c r="C5" s="21"/>
      <c r="D5" s="22"/>
      <c r="E5" s="23"/>
      <c r="F5" s="23"/>
      <c r="G5" s="23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4"/>
    </row>
    <row r="6" spans="2:19" ht="17" hidden="1" customHeight="1" x14ac:dyDescent="0.4">
      <c r="B6" s="25"/>
      <c r="C6" s="61" t="s">
        <v>18</v>
      </c>
      <c r="D6" s="52"/>
      <c r="E6" s="10"/>
      <c r="F6" s="10"/>
      <c r="G6" s="10"/>
      <c r="H6" s="9"/>
      <c r="I6" s="9"/>
      <c r="J6" s="52"/>
      <c r="K6" s="420" t="s">
        <v>119</v>
      </c>
      <c r="L6" s="420"/>
      <c r="M6" s="48">
        <f>+G38</f>
        <v>0.75000000000000011</v>
      </c>
      <c r="O6" s="9"/>
      <c r="P6" s="9"/>
      <c r="Q6" s="9"/>
      <c r="R6" s="9"/>
      <c r="S6" s="26"/>
    </row>
    <row r="7" spans="2:19" ht="17" hidden="1" customHeight="1" x14ac:dyDescent="0.4">
      <c r="B7" s="25"/>
      <c r="C7" s="52" t="s">
        <v>19</v>
      </c>
      <c r="D7" s="52"/>
      <c r="E7" s="10"/>
      <c r="F7" s="10"/>
      <c r="G7" s="10"/>
      <c r="H7" s="9"/>
      <c r="I7" s="9"/>
      <c r="J7" s="52"/>
      <c r="K7" s="420" t="s">
        <v>117</v>
      </c>
      <c r="L7" s="420"/>
      <c r="M7" s="49">
        <f>+H39</f>
        <v>0.33333333333333331</v>
      </c>
      <c r="O7" s="9"/>
      <c r="P7" s="9"/>
      <c r="Q7" s="9"/>
      <c r="R7" s="9"/>
      <c r="S7" s="26"/>
    </row>
    <row r="8" spans="2:19" ht="17" hidden="1" customHeight="1" x14ac:dyDescent="0.4">
      <c r="B8" s="25"/>
      <c r="C8" s="52" t="s">
        <v>20</v>
      </c>
      <c r="D8" s="52"/>
      <c r="E8" s="10"/>
      <c r="F8" s="10"/>
      <c r="G8" s="10"/>
      <c r="H8" s="9"/>
      <c r="I8" s="9"/>
      <c r="J8" s="52" t="s">
        <v>115</v>
      </c>
      <c r="K8" s="420" t="s">
        <v>118</v>
      </c>
      <c r="L8" s="420"/>
      <c r="M8" s="50">
        <f>+G60</f>
        <v>0</v>
      </c>
      <c r="O8" s="9"/>
      <c r="P8" s="9"/>
      <c r="Q8" s="9"/>
      <c r="R8" s="9"/>
      <c r="S8" s="26"/>
    </row>
    <row r="9" spans="2:19" ht="17" hidden="1" customHeight="1" x14ac:dyDescent="0.4">
      <c r="B9" s="25"/>
      <c r="C9" s="52" t="s">
        <v>21</v>
      </c>
      <c r="D9" s="52"/>
      <c r="E9" s="10"/>
      <c r="F9" s="10"/>
      <c r="G9" s="10"/>
      <c r="H9" s="9"/>
      <c r="I9" s="9"/>
      <c r="J9" s="52" t="s">
        <v>116</v>
      </c>
      <c r="K9" s="420" t="s">
        <v>147</v>
      </c>
      <c r="L9" s="420"/>
      <c r="M9" s="50">
        <f>+G74</f>
        <v>0</v>
      </c>
      <c r="O9" s="9"/>
      <c r="P9" s="9"/>
      <c r="Q9" s="9"/>
      <c r="R9" s="9"/>
      <c r="S9" s="26"/>
    </row>
    <row r="10" spans="2:19" ht="17" hidden="1" customHeight="1" x14ac:dyDescent="0.4">
      <c r="B10" s="25"/>
      <c r="C10" s="52"/>
      <c r="D10" s="52"/>
      <c r="E10" s="10"/>
      <c r="F10" s="10"/>
      <c r="G10" s="10"/>
      <c r="H10" s="9"/>
      <c r="I10" s="9"/>
      <c r="J10" s="52"/>
      <c r="K10" s="420" t="s">
        <v>148</v>
      </c>
      <c r="L10" s="420"/>
      <c r="M10" s="50">
        <f>+G84</f>
        <v>0</v>
      </c>
      <c r="O10" s="9"/>
      <c r="P10" s="9"/>
      <c r="Q10" s="9"/>
      <c r="R10" s="9"/>
      <c r="S10" s="26"/>
    </row>
    <row r="11" spans="2:19" ht="17" hidden="1" customHeight="1" x14ac:dyDescent="0.4">
      <c r="B11" s="25"/>
      <c r="C11" s="61"/>
      <c r="D11" s="52"/>
      <c r="E11" s="10"/>
      <c r="F11" s="10"/>
      <c r="G11" s="10"/>
      <c r="H11" s="9"/>
      <c r="I11" s="9"/>
      <c r="J11" s="52"/>
      <c r="K11" s="420" t="s">
        <v>120</v>
      </c>
      <c r="L11" s="420"/>
      <c r="M11" s="51" t="e">
        <f>+#REF!</f>
        <v>#REF!</v>
      </c>
      <c r="O11" s="9"/>
      <c r="P11" s="9"/>
      <c r="Q11" s="9"/>
      <c r="R11" s="9"/>
      <c r="S11" s="26"/>
    </row>
    <row r="12" spans="2:19" ht="17" hidden="1" customHeight="1" x14ac:dyDescent="0.4">
      <c r="B12" s="25"/>
      <c r="C12" s="52"/>
      <c r="D12" s="52"/>
      <c r="E12" s="10"/>
      <c r="F12" s="10"/>
      <c r="G12" s="10"/>
      <c r="H12" s="9"/>
      <c r="I12" s="9"/>
      <c r="J12" s="52"/>
      <c r="K12" s="420" t="s">
        <v>133</v>
      </c>
      <c r="L12" s="420"/>
      <c r="M12" s="62">
        <f>+D15+D16+D17+D18</f>
        <v>0</v>
      </c>
      <c r="O12" s="9"/>
      <c r="P12" s="9"/>
      <c r="Q12" s="9"/>
      <c r="R12" s="9"/>
      <c r="S12" s="26"/>
    </row>
    <row r="13" spans="2:19" ht="17" hidden="1" customHeight="1" x14ac:dyDescent="0.4">
      <c r="B13" s="27"/>
      <c r="C13" s="17"/>
      <c r="D13" s="28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30"/>
    </row>
    <row r="14" spans="2:19" ht="17" hidden="1" customHeight="1" x14ac:dyDescent="0.4">
      <c r="B14" s="426" t="s">
        <v>15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8"/>
    </row>
    <row r="15" spans="2:19" ht="21" hidden="1" customHeight="1" x14ac:dyDescent="0.35">
      <c r="B15" s="31" t="s">
        <v>6</v>
      </c>
      <c r="C15" s="11" t="s">
        <v>8</v>
      </c>
      <c r="D15" s="12">
        <f>+K15+P15</f>
        <v>0</v>
      </c>
      <c r="E15" s="12"/>
      <c r="F15" s="12"/>
      <c r="G15" s="12"/>
      <c r="H15" s="12" t="s">
        <v>11</v>
      </c>
      <c r="I15" s="12"/>
      <c r="J15" s="11" t="s">
        <v>8</v>
      </c>
      <c r="K15" s="12"/>
      <c r="L15" s="13"/>
      <c r="M15" s="13"/>
      <c r="N15" s="33" t="s">
        <v>13</v>
      </c>
      <c r="O15" s="11" t="s">
        <v>8</v>
      </c>
      <c r="P15" s="12"/>
      <c r="Q15" s="13"/>
      <c r="R15" s="12"/>
      <c r="S15" s="14"/>
    </row>
    <row r="16" spans="2:19" ht="21" hidden="1" customHeight="1" x14ac:dyDescent="0.35">
      <c r="B16" s="32"/>
      <c r="C16" s="15" t="s">
        <v>9</v>
      </c>
      <c r="D16" s="16">
        <f>+K16+P16</f>
        <v>0</v>
      </c>
      <c r="E16" s="16"/>
      <c r="F16" s="16"/>
      <c r="G16" s="16"/>
      <c r="H16" s="16"/>
      <c r="I16" s="16"/>
      <c r="J16" s="15" t="s">
        <v>9</v>
      </c>
      <c r="K16" s="16"/>
      <c r="L16" s="17"/>
      <c r="M16" s="17"/>
      <c r="N16" s="34"/>
      <c r="O16" s="15" t="s">
        <v>9</v>
      </c>
      <c r="P16" s="16"/>
      <c r="Q16" s="17"/>
      <c r="R16" s="16"/>
      <c r="S16" s="18"/>
    </row>
    <row r="17" spans="2:24" ht="21" hidden="1" customHeight="1" x14ac:dyDescent="0.35">
      <c r="B17" s="31" t="s">
        <v>7</v>
      </c>
      <c r="C17" s="11" t="s">
        <v>8</v>
      </c>
      <c r="D17" s="12">
        <f>+K17+P17</f>
        <v>0</v>
      </c>
      <c r="E17" s="12"/>
      <c r="F17" s="12"/>
      <c r="G17" s="12"/>
      <c r="H17" s="12" t="s">
        <v>12</v>
      </c>
      <c r="I17" s="12"/>
      <c r="J17" s="11" t="s">
        <v>8</v>
      </c>
      <c r="K17" s="12"/>
      <c r="L17" s="13"/>
      <c r="M17" s="13"/>
      <c r="N17" s="33" t="s">
        <v>14</v>
      </c>
      <c r="O17" s="11" t="s">
        <v>8</v>
      </c>
      <c r="P17" s="12"/>
      <c r="Q17" s="13"/>
      <c r="R17" s="12"/>
      <c r="S17" s="14"/>
    </row>
    <row r="18" spans="2:24" ht="21" hidden="1" customHeight="1" x14ac:dyDescent="0.35">
      <c r="B18" s="32"/>
      <c r="C18" s="15" t="s">
        <v>9</v>
      </c>
      <c r="D18" s="16">
        <f>+K18+P18</f>
        <v>0</v>
      </c>
      <c r="E18" s="16"/>
      <c r="F18" s="16"/>
      <c r="G18" s="16"/>
      <c r="H18" s="16"/>
      <c r="I18" s="16"/>
      <c r="J18" s="15" t="s">
        <v>9</v>
      </c>
      <c r="K18" s="16"/>
      <c r="L18" s="17"/>
      <c r="M18" s="17"/>
      <c r="N18" s="34"/>
      <c r="O18" s="15" t="s">
        <v>9</v>
      </c>
      <c r="P18" s="16"/>
      <c r="Q18" s="17"/>
      <c r="R18" s="16"/>
      <c r="S18" s="18"/>
    </row>
    <row r="19" spans="2:24" ht="17" customHeight="1" x14ac:dyDescent="0.4">
      <c r="B19" s="91" t="s">
        <v>158</v>
      </c>
      <c r="C19" s="63" t="s">
        <v>177</v>
      </c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3"/>
    </row>
    <row r="20" spans="2:24" ht="80.400000000000006" customHeight="1" x14ac:dyDescent="0.35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41" t="s">
        <v>131</v>
      </c>
      <c r="L20" s="47" t="s">
        <v>123</v>
      </c>
      <c r="M20" s="40" t="s">
        <v>134</v>
      </c>
      <c r="N20" s="41" t="s">
        <v>24</v>
      </c>
      <c r="O20" s="41" t="s">
        <v>130</v>
      </c>
      <c r="P20" s="40" t="s">
        <v>159</v>
      </c>
      <c r="Q20" s="40" t="s">
        <v>121</v>
      </c>
      <c r="R20" s="40" t="s">
        <v>4</v>
      </c>
      <c r="S20" s="41" t="s">
        <v>137</v>
      </c>
      <c r="U20" s="40" t="s">
        <v>109</v>
      </c>
      <c r="V20" s="41" t="s">
        <v>87</v>
      </c>
      <c r="W20" s="41" t="s">
        <v>128</v>
      </c>
      <c r="X20" s="41" t="s">
        <v>62</v>
      </c>
    </row>
    <row r="21" spans="2:24" ht="38" customHeight="1" x14ac:dyDescent="0.35">
      <c r="B21" s="4"/>
      <c r="C21" s="94" t="str">
        <f>+Datos!R2</f>
        <v>Ciclo Minero 10,0 x 7,2 m
Galería Inyección Principal</v>
      </c>
      <c r="D21" s="94" t="s">
        <v>228</v>
      </c>
      <c r="E21" s="4" t="s">
        <v>6</v>
      </c>
      <c r="F21" s="4" t="s">
        <v>165</v>
      </c>
      <c r="G21" s="4" t="s">
        <v>205</v>
      </c>
      <c r="H21" s="6">
        <v>0.41666666666666669</v>
      </c>
      <c r="I21" s="6">
        <v>0.52083333333333337</v>
      </c>
      <c r="J21" s="36">
        <f t="shared" ref="J21:J23" si="0">MOD(I21-H21, 1)</f>
        <v>0.10416666666666669</v>
      </c>
      <c r="K21" s="96">
        <v>0</v>
      </c>
      <c r="L21" s="65"/>
      <c r="M21" s="66" t="s">
        <v>162</v>
      </c>
      <c r="N21" s="37">
        <v>0</v>
      </c>
      <c r="O21" s="37" t="s">
        <v>229</v>
      </c>
      <c r="P21" s="4"/>
      <c r="Q21" s="6"/>
      <c r="R21" s="6"/>
      <c r="S21" s="36">
        <f>+MOD(R21-Q21,1)</f>
        <v>0</v>
      </c>
      <c r="U21" s="126" t="str">
        <f>+IFERROR(VLOOKUP(D21,Datos!$R$3:$T$19,3,FALSE), "0")</f>
        <v>0</v>
      </c>
      <c r="V21" s="67" t="str">
        <f>IF(OR(D21="Perforación de Fortificación", D21="Perforación de Avance", D21="Perforación Desquinche"), K21*M21, "")</f>
        <v/>
      </c>
      <c r="W21" s="67" t="str">
        <f>IF(D21="Extracción de Marina Disparo",K21,"")</f>
        <v/>
      </c>
      <c r="X21" s="67" t="str">
        <f>IF(OR(D21="Shotcrete", D21="Pre Shotcrete"), K21, "")</f>
        <v/>
      </c>
    </row>
    <row r="22" spans="2:24" ht="38" customHeight="1" x14ac:dyDescent="0.35">
      <c r="B22" s="4"/>
      <c r="C22" s="94" t="str">
        <f>+C21</f>
        <v>Ciclo Minero 10,0 x 7,2 m
Galería Inyección Principal</v>
      </c>
      <c r="D22" s="94" t="s">
        <v>230</v>
      </c>
      <c r="E22" s="4" t="s">
        <v>6</v>
      </c>
      <c r="F22" s="4" t="s">
        <v>165</v>
      </c>
      <c r="G22" s="4" t="s">
        <v>213</v>
      </c>
      <c r="H22" s="6">
        <v>0.52083333333333337</v>
      </c>
      <c r="I22" s="6">
        <v>0.5625</v>
      </c>
      <c r="J22" s="36">
        <f t="shared" si="0"/>
        <v>4.166666666666663E-2</v>
      </c>
      <c r="K22" s="7">
        <v>0</v>
      </c>
      <c r="L22" s="65"/>
      <c r="M22" s="66">
        <v>0</v>
      </c>
      <c r="N22" s="37">
        <v>0</v>
      </c>
      <c r="O22" s="37" t="s">
        <v>231</v>
      </c>
      <c r="P22" s="4"/>
      <c r="Q22" s="6"/>
      <c r="R22" s="4"/>
      <c r="S22" s="36">
        <f t="shared" ref="S22:S26" si="1">+MOD(R22-Q22,1)</f>
        <v>0</v>
      </c>
      <c r="U22" s="126" t="str">
        <f>+IFERROR(VLOOKUP(D22,Datos!$R$3:$T$19,3,FALSE), "0")</f>
        <v>0</v>
      </c>
      <c r="V22" s="67" t="str">
        <f t="shared" ref="V22:V26" si="2">IF(OR(D22="Perforación de Fortificación", D22="Perforación de Avance", D22="Perforación Desquinche"), K22*M22, "")</f>
        <v/>
      </c>
      <c r="W22" s="67" t="str">
        <f t="shared" ref="W22:W26" si="3">IF(D22="Extracción de Marina Disparo",K22,"")</f>
        <v/>
      </c>
      <c r="X22" s="67" t="str">
        <f t="shared" ref="X22:X26" si="4">IF(OR(D22="Shotcrete", D22="Pre Shotcrete"), K22, "")</f>
        <v/>
      </c>
    </row>
    <row r="23" spans="2:24" ht="38" customHeight="1" x14ac:dyDescent="0.35">
      <c r="B23" s="4"/>
      <c r="C23" s="94" t="str">
        <f t="shared" ref="C23:C25" si="5">+C22</f>
        <v>Ciclo Minero 10,0 x 7,2 m
Galería Inyección Principal</v>
      </c>
      <c r="D23" s="94" t="s">
        <v>63</v>
      </c>
      <c r="E23" s="4" t="s">
        <v>6</v>
      </c>
      <c r="F23" s="4" t="s">
        <v>165</v>
      </c>
      <c r="G23" s="4" t="s">
        <v>202</v>
      </c>
      <c r="H23" s="6">
        <v>0.57638888888888884</v>
      </c>
      <c r="I23" s="6">
        <v>0.80555555555555558</v>
      </c>
      <c r="J23" s="36">
        <f t="shared" si="0"/>
        <v>0.22916666666666674</v>
      </c>
      <c r="K23" s="7">
        <f>179+6</f>
        <v>185</v>
      </c>
      <c r="L23" s="65" t="s">
        <v>138</v>
      </c>
      <c r="M23" s="66">
        <v>3.8</v>
      </c>
      <c r="N23" s="37">
        <v>1</v>
      </c>
      <c r="O23" s="37"/>
      <c r="P23" s="4"/>
      <c r="Q23" s="4"/>
      <c r="R23" s="4"/>
      <c r="S23" s="36">
        <f t="shared" si="1"/>
        <v>0</v>
      </c>
      <c r="U23" s="126">
        <f>+IFERROR(VLOOKUP(D23,Datos!$R$3:$T$19,3,FALSE), "0")</f>
        <v>0.13519680547632629</v>
      </c>
      <c r="V23" s="67">
        <f t="shared" si="2"/>
        <v>703</v>
      </c>
      <c r="W23" s="67" t="str">
        <f t="shared" si="3"/>
        <v/>
      </c>
      <c r="X23" s="67" t="str">
        <f t="shared" si="4"/>
        <v/>
      </c>
    </row>
    <row r="24" spans="2:24" ht="38" customHeight="1" x14ac:dyDescent="0.35">
      <c r="B24" s="4"/>
      <c r="C24" s="94" t="str">
        <f t="shared" si="5"/>
        <v>Ciclo Minero 10,0 x 7,2 m
Galería Inyección Principal</v>
      </c>
      <c r="D24" s="94"/>
      <c r="E24" s="4"/>
      <c r="F24" s="4"/>
      <c r="G24" s="4"/>
      <c r="H24" s="6"/>
      <c r="I24" s="6"/>
      <c r="J24" s="36"/>
      <c r="K24" s="7"/>
      <c r="L24" s="65"/>
      <c r="M24" s="66"/>
      <c r="N24" s="37"/>
      <c r="O24" s="37"/>
      <c r="P24" s="4"/>
      <c r="Q24" s="4"/>
      <c r="R24" s="4"/>
      <c r="S24" s="36">
        <f t="shared" si="1"/>
        <v>0</v>
      </c>
      <c r="U24" s="126" t="str">
        <f>+IFERROR(VLOOKUP(D24,Datos!$R$3:$T$19,3,FALSE), "0")</f>
        <v>0</v>
      </c>
      <c r="V24" s="67" t="str">
        <f t="shared" si="2"/>
        <v/>
      </c>
      <c r="W24" s="67" t="str">
        <f t="shared" si="3"/>
        <v/>
      </c>
      <c r="X24" s="67" t="str">
        <f t="shared" si="4"/>
        <v/>
      </c>
    </row>
    <row r="25" spans="2:24" ht="38" customHeight="1" x14ac:dyDescent="0.35">
      <c r="B25" s="4"/>
      <c r="C25" s="94" t="str">
        <f t="shared" si="5"/>
        <v>Ciclo Minero 10,0 x 7,2 m
Galería Inyección Principal</v>
      </c>
      <c r="D25" s="94"/>
      <c r="E25" s="4"/>
      <c r="F25" s="4"/>
      <c r="G25" s="4"/>
      <c r="H25" s="6"/>
      <c r="I25" s="6"/>
      <c r="J25" s="36"/>
      <c r="K25" s="7"/>
      <c r="L25" s="65"/>
      <c r="M25" s="66"/>
      <c r="N25" s="37"/>
      <c r="O25" s="37"/>
      <c r="P25" s="4"/>
      <c r="Q25" s="4"/>
      <c r="R25" s="4"/>
      <c r="S25" s="36">
        <f t="shared" si="1"/>
        <v>0</v>
      </c>
      <c r="U25" s="126" t="str">
        <f>+IFERROR(VLOOKUP(D25,Datos!$R$3:$T$19,3,FALSE), "0")</f>
        <v>0</v>
      </c>
      <c r="V25" s="67" t="str">
        <f t="shared" si="2"/>
        <v/>
      </c>
      <c r="W25" s="67" t="str">
        <f t="shared" si="3"/>
        <v/>
      </c>
      <c r="X25" s="67" t="str">
        <f t="shared" si="4"/>
        <v/>
      </c>
    </row>
    <row r="26" spans="2:24" ht="38" customHeight="1" x14ac:dyDescent="0.35">
      <c r="B26" s="4"/>
      <c r="C26" s="94"/>
      <c r="D26" s="94"/>
      <c r="E26" s="4"/>
      <c r="F26" s="4"/>
      <c r="G26" s="4"/>
      <c r="H26" s="6"/>
      <c r="I26" s="6"/>
      <c r="J26" s="36">
        <f>SUM(J21:J25)</f>
        <v>0.37500000000000006</v>
      </c>
      <c r="K26" s="7"/>
      <c r="L26" s="65"/>
      <c r="M26" s="66"/>
      <c r="N26" s="37"/>
      <c r="O26" s="129" t="s">
        <v>232</v>
      </c>
      <c r="P26" s="4"/>
      <c r="Q26" s="4"/>
      <c r="R26" s="4"/>
      <c r="S26" s="36">
        <f t="shared" si="1"/>
        <v>0</v>
      </c>
      <c r="U26" s="45">
        <f>+Datos!T17</f>
        <v>5.7045065601825425E-3</v>
      </c>
      <c r="V26" s="67" t="str">
        <f t="shared" si="2"/>
        <v/>
      </c>
      <c r="W26" s="67" t="str">
        <f t="shared" si="3"/>
        <v/>
      </c>
      <c r="X26" s="67" t="str">
        <f t="shared" si="4"/>
        <v/>
      </c>
    </row>
    <row r="27" spans="2:24" ht="17" x14ac:dyDescent="0.4">
      <c r="B27" s="90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41"/>
      <c r="L27" s="47"/>
      <c r="M27" s="40"/>
      <c r="N27" s="41"/>
      <c r="O27" s="41"/>
      <c r="P27" s="40"/>
      <c r="Q27" s="40"/>
      <c r="R27" s="40"/>
      <c r="S27" s="41"/>
      <c r="U27" s="40"/>
      <c r="V27" s="41"/>
      <c r="W27" s="41"/>
      <c r="X27" s="41"/>
    </row>
    <row r="28" spans="2:24" ht="72.5" x14ac:dyDescent="0.35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41" t="s">
        <v>131</v>
      </c>
      <c r="L28" s="47" t="s">
        <v>123</v>
      </c>
      <c r="M28" s="40" t="s">
        <v>134</v>
      </c>
      <c r="N28" s="41" t="s">
        <v>24</v>
      </c>
      <c r="O28" s="41" t="s">
        <v>130</v>
      </c>
      <c r="P28" s="40" t="s">
        <v>132</v>
      </c>
      <c r="Q28" s="40" t="s">
        <v>121</v>
      </c>
      <c r="R28" s="40" t="s">
        <v>4</v>
      </c>
      <c r="S28" s="41" t="s">
        <v>137</v>
      </c>
      <c r="U28" s="40" t="s">
        <v>109</v>
      </c>
      <c r="V28" s="41" t="s">
        <v>87</v>
      </c>
      <c r="W28" s="41" t="s">
        <v>128</v>
      </c>
      <c r="X28" s="41" t="s">
        <v>128</v>
      </c>
    </row>
    <row r="29" spans="2:24" ht="38" customHeight="1" x14ac:dyDescent="0.35">
      <c r="B29" s="4"/>
      <c r="C29" s="94" t="str">
        <f>+Datos!R23</f>
        <v>Ciclo Minero 5,2 x 5,6 m
Galería Acceso Portal de Servicio</v>
      </c>
      <c r="D29" s="94" t="s">
        <v>52</v>
      </c>
      <c r="E29" s="4" t="s">
        <v>6</v>
      </c>
      <c r="F29" s="4" t="s">
        <v>166</v>
      </c>
      <c r="G29" s="4" t="s">
        <v>211</v>
      </c>
      <c r="H29" s="6">
        <v>0.41666666666666669</v>
      </c>
      <c r="I29" s="6">
        <v>0.5</v>
      </c>
      <c r="J29" s="36">
        <f t="shared" ref="J29:J33" si="6">MOD(I29-H29, 1)</f>
        <v>8.3333333333333315E-2</v>
      </c>
      <c r="K29" s="7">
        <f>14.43*3.2</f>
        <v>46.176000000000002</v>
      </c>
      <c r="L29" s="65" t="s">
        <v>126</v>
      </c>
      <c r="M29" s="66">
        <v>0</v>
      </c>
      <c r="N29" s="37">
        <v>1</v>
      </c>
      <c r="O29" s="95" t="s">
        <v>233</v>
      </c>
      <c r="P29" s="4"/>
      <c r="Q29" s="6"/>
      <c r="R29" s="6"/>
      <c r="S29" s="36">
        <f>+MOD(R29-Q29,1)</f>
        <v>0</v>
      </c>
      <c r="U29" s="124">
        <f>+IFERROR(VLOOKUP(D29,Datos!$R$24:$T$40,3,FALSE), "0")</f>
        <v>7.3313782991202336E-2</v>
      </c>
      <c r="V29" s="67" t="str">
        <f t="shared" ref="V29:V34" si="7">IF(OR(D29="Perforación de Fortificación", D29="Perforación de Avance", D29="Perforación Desquinche"), K29*M29, "")</f>
        <v/>
      </c>
      <c r="W29" s="67" t="str">
        <f>IF(D29="Extracción de Marina Disparo",K29,"")</f>
        <v/>
      </c>
      <c r="X29" s="67" t="str">
        <f t="shared" ref="X29:X34" si="8">IF(OR(D29="Shotcrete", D29="Pre Shotcrete"), K29, "")</f>
        <v/>
      </c>
    </row>
    <row r="30" spans="2:24" ht="38" customHeight="1" x14ac:dyDescent="0.35">
      <c r="B30" s="4"/>
      <c r="C30" s="94" t="str">
        <f>+C29</f>
        <v>Ciclo Minero 5,2 x 5,6 m
Galería Acceso Portal de Servicio</v>
      </c>
      <c r="D30" s="94" t="s">
        <v>59</v>
      </c>
      <c r="E30" s="4" t="s">
        <v>6</v>
      </c>
      <c r="F30" s="4" t="s">
        <v>166</v>
      </c>
      <c r="G30" s="4" t="s">
        <v>213</v>
      </c>
      <c r="H30" s="6">
        <v>0.5</v>
      </c>
      <c r="I30" s="6">
        <v>0.58333333333333337</v>
      </c>
      <c r="J30" s="36">
        <f t="shared" si="6"/>
        <v>8.333333333333337E-2</v>
      </c>
      <c r="K30" s="7">
        <v>0</v>
      </c>
      <c r="L30" s="65"/>
      <c r="M30" s="66">
        <v>0</v>
      </c>
      <c r="N30" s="37">
        <v>1</v>
      </c>
      <c r="O30" s="37"/>
      <c r="P30" s="4"/>
      <c r="Q30" s="4"/>
      <c r="R30" s="4"/>
      <c r="S30" s="36">
        <f t="shared" ref="S30:S34" si="9">+MOD(R30-Q30,1)</f>
        <v>0</v>
      </c>
      <c r="U30" s="124">
        <f>+IFERROR(VLOOKUP(D30,Datos!$R$24:$T$40,3,FALSE), "0")</f>
        <v>9.7751710654936444E-3</v>
      </c>
      <c r="V30" s="67" t="str">
        <f t="shared" si="7"/>
        <v/>
      </c>
      <c r="W30" s="67" t="str">
        <f t="shared" ref="W30:W34" si="10">IF(D30="Extracción de Marina Disparo",K30,"")</f>
        <v/>
      </c>
      <c r="X30" s="67" t="str">
        <f t="shared" si="8"/>
        <v/>
      </c>
    </row>
    <row r="31" spans="2:24" ht="38" customHeight="1" x14ac:dyDescent="0.35">
      <c r="B31" s="4"/>
      <c r="C31" s="94" t="str">
        <f t="shared" ref="C31:C34" si="11">+C30</f>
        <v>Ciclo Minero 5,2 x 5,6 m
Galería Acceso Portal de Servicio</v>
      </c>
      <c r="D31" s="94" t="s">
        <v>173</v>
      </c>
      <c r="E31" s="4" t="s">
        <v>6</v>
      </c>
      <c r="F31" s="4" t="s">
        <v>166</v>
      </c>
      <c r="G31" s="4"/>
      <c r="H31" s="6">
        <v>0.59722222222222221</v>
      </c>
      <c r="I31" s="6">
        <v>0.625</v>
      </c>
      <c r="J31" s="36">
        <f t="shared" si="6"/>
        <v>2.777777777777779E-2</v>
      </c>
      <c r="K31" s="7">
        <v>0</v>
      </c>
      <c r="L31" s="65"/>
      <c r="M31" s="66">
        <v>0</v>
      </c>
      <c r="N31" s="37">
        <v>1</v>
      </c>
      <c r="O31" s="37" t="s">
        <v>234</v>
      </c>
      <c r="P31" s="4"/>
      <c r="Q31" s="4"/>
      <c r="R31" s="4"/>
      <c r="S31" s="36">
        <f t="shared" si="9"/>
        <v>0</v>
      </c>
      <c r="U31" s="124">
        <f>+IFERROR(VLOOKUP(D31,Datos!$R$24:$T$40,3,FALSE), "0")</f>
        <v>4.1055718475073312E-2</v>
      </c>
      <c r="V31" s="67" t="str">
        <f t="shared" si="7"/>
        <v/>
      </c>
      <c r="W31" s="67" t="str">
        <f t="shared" si="10"/>
        <v/>
      </c>
      <c r="X31" s="67" t="str">
        <f t="shared" si="8"/>
        <v/>
      </c>
    </row>
    <row r="32" spans="2:24" ht="38" customHeight="1" x14ac:dyDescent="0.35">
      <c r="B32" s="4"/>
      <c r="C32" s="94" t="str">
        <f t="shared" si="11"/>
        <v>Ciclo Minero 5,2 x 5,6 m
Galería Acceso Portal de Servicio</v>
      </c>
      <c r="D32" s="94" t="s">
        <v>63</v>
      </c>
      <c r="E32" s="4" t="s">
        <v>6</v>
      </c>
      <c r="F32" s="4" t="s">
        <v>166</v>
      </c>
      <c r="G32" s="4" t="s">
        <v>202</v>
      </c>
      <c r="H32" s="6">
        <v>0.625</v>
      </c>
      <c r="I32" s="6">
        <v>0.76388888888888884</v>
      </c>
      <c r="J32" s="36">
        <f t="shared" si="6"/>
        <v>0.13888888888888884</v>
      </c>
      <c r="K32" s="7">
        <v>96</v>
      </c>
      <c r="L32" s="65" t="s">
        <v>129</v>
      </c>
      <c r="M32" s="66">
        <v>3.8</v>
      </c>
      <c r="N32" s="37">
        <v>1</v>
      </c>
      <c r="O32" s="37"/>
      <c r="P32" s="4"/>
      <c r="Q32" s="4"/>
      <c r="R32" s="4"/>
      <c r="S32" s="36">
        <f t="shared" si="9"/>
        <v>0</v>
      </c>
      <c r="U32" s="124">
        <f>+IFERROR(VLOOKUP(D32,Datos!$R$24:$T$40,3,FALSE), "0")</f>
        <v>0.12609970674486803</v>
      </c>
      <c r="V32" s="67">
        <f t="shared" si="7"/>
        <v>364.79999999999995</v>
      </c>
      <c r="W32" s="67" t="str">
        <f t="shared" si="10"/>
        <v/>
      </c>
      <c r="X32" s="67" t="str">
        <f t="shared" si="8"/>
        <v/>
      </c>
    </row>
    <row r="33" spans="2:24" ht="38" customHeight="1" x14ac:dyDescent="0.35">
      <c r="B33" s="4"/>
      <c r="C33" s="94" t="str">
        <f t="shared" si="11"/>
        <v>Ciclo Minero 5,2 x 5,6 m
Galería Acceso Portal de Servicio</v>
      </c>
      <c r="D33" s="94"/>
      <c r="E33" s="4"/>
      <c r="F33" s="4"/>
      <c r="G33" s="4"/>
      <c r="H33" s="6"/>
      <c r="I33" s="6"/>
      <c r="J33" s="36">
        <f t="shared" si="6"/>
        <v>0</v>
      </c>
      <c r="K33" s="7"/>
      <c r="L33" s="65"/>
      <c r="M33" s="66"/>
      <c r="N33" s="37"/>
      <c r="O33" s="37" t="s">
        <v>235</v>
      </c>
      <c r="P33" s="4"/>
      <c r="Q33" s="4"/>
      <c r="R33" s="4"/>
      <c r="S33" s="36">
        <f t="shared" si="9"/>
        <v>0</v>
      </c>
      <c r="U33" s="45">
        <f>+Datos!T36+Datos!T38</f>
        <v>8.015640273704791E-2</v>
      </c>
      <c r="V33" s="67" t="str">
        <f t="shared" si="7"/>
        <v/>
      </c>
      <c r="W33" s="67" t="str">
        <f t="shared" si="10"/>
        <v/>
      </c>
      <c r="X33" s="67" t="str">
        <f t="shared" si="8"/>
        <v/>
      </c>
    </row>
    <row r="34" spans="2:24" ht="38" customHeight="1" x14ac:dyDescent="0.35">
      <c r="B34" s="4"/>
      <c r="C34" s="94" t="str">
        <f t="shared" si="11"/>
        <v>Ciclo Minero 5,2 x 5,6 m
Galería Acceso Portal de Servicio</v>
      </c>
      <c r="D34" s="94"/>
      <c r="E34" s="4"/>
      <c r="F34" s="4"/>
      <c r="G34" s="4"/>
      <c r="H34" s="6"/>
      <c r="I34" s="4"/>
      <c r="J34" s="36">
        <f>SUM(J29:J33)</f>
        <v>0.33333333333333331</v>
      </c>
      <c r="K34" s="7"/>
      <c r="L34" s="65"/>
      <c r="M34" s="66"/>
      <c r="N34" s="37"/>
      <c r="O34" s="37"/>
      <c r="P34" s="4"/>
      <c r="Q34" s="4"/>
      <c r="R34" s="4"/>
      <c r="S34" s="36">
        <f t="shared" si="9"/>
        <v>0</v>
      </c>
      <c r="U34" s="45"/>
      <c r="V34" s="67" t="str">
        <f t="shared" si="7"/>
        <v/>
      </c>
      <c r="W34" s="67" t="str">
        <f t="shared" si="10"/>
        <v/>
      </c>
      <c r="X34" s="67" t="str">
        <f t="shared" si="8"/>
        <v/>
      </c>
    </row>
    <row r="35" spans="2:24" ht="15.65" customHeight="1" thickBot="1" x14ac:dyDescent="0.4">
      <c r="B35" s="5"/>
      <c r="C35" s="5"/>
      <c r="D35" s="5"/>
      <c r="E35" s="5"/>
      <c r="F35" s="5"/>
      <c r="G35" s="5"/>
      <c r="H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2:24" ht="30" customHeight="1" thickBot="1" x14ac:dyDescent="0.4">
      <c r="B36" s="69"/>
      <c r="C36" s="404" t="s">
        <v>64</v>
      </c>
      <c r="D36" s="404"/>
      <c r="E36" s="70"/>
      <c r="F36" s="70"/>
      <c r="G36" s="424">
        <v>3500</v>
      </c>
      <c r="H36" s="425"/>
      <c r="I36" s="424">
        <v>3700</v>
      </c>
      <c r="J36" s="425"/>
      <c r="K36" s="429" t="s">
        <v>146</v>
      </c>
      <c r="L36" s="430"/>
      <c r="M36" s="5"/>
      <c r="N36" s="5"/>
      <c r="O36" s="5"/>
      <c r="P36" s="5"/>
      <c r="Q36" s="5"/>
      <c r="R36" s="5"/>
      <c r="S36" s="5"/>
    </row>
    <row r="37" spans="2:24" ht="30" customHeight="1" x14ac:dyDescent="0.35">
      <c r="C37" s="54" t="s">
        <v>48</v>
      </c>
      <c r="D37" s="55">
        <f>SUMPRODUCT((LEFT(F21:F33, 1)="C") / (COUNTIF(F21:F33, F21:F33 &amp; "") + (F21:F33="")))</f>
        <v>0</v>
      </c>
      <c r="E37" s="406" t="s">
        <v>90</v>
      </c>
      <c r="F37" s="406"/>
      <c r="G37" s="82">
        <v>0.26041666666666669</v>
      </c>
      <c r="H37" s="105" t="s">
        <v>23</v>
      </c>
      <c r="I37" s="82">
        <v>0.26041666666666669</v>
      </c>
      <c r="J37" s="105" t="s">
        <v>23</v>
      </c>
      <c r="K37" s="101">
        <f>+G37</f>
        <v>0.26041666666666669</v>
      </c>
      <c r="L37" s="105" t="s">
        <v>23</v>
      </c>
      <c r="M37" s="5"/>
      <c r="N37" s="5"/>
      <c r="O37" s="5"/>
      <c r="P37" s="5"/>
      <c r="Q37" s="5"/>
      <c r="R37" s="5"/>
      <c r="S37" s="5"/>
    </row>
    <row r="38" spans="2:24" x14ac:dyDescent="0.35">
      <c r="C38" s="54" t="s">
        <v>49</v>
      </c>
      <c r="D38" s="55">
        <f>SUMPRODUCT((LEFT(F21:F33, 1)="O") / (COUNTIF(F21:F33, F21:F33 &amp; "") + (F21:F33="")))</f>
        <v>0</v>
      </c>
      <c r="E38" s="405" t="s">
        <v>198</v>
      </c>
      <c r="F38" s="405"/>
      <c r="G38" s="84">
        <f>SUM(J21:J26)</f>
        <v>0.75000000000000011</v>
      </c>
      <c r="H38" s="106">
        <f>+G38*24/($G$37*24)</f>
        <v>2.8800000000000008</v>
      </c>
      <c r="I38" s="84">
        <f>SUM(J29:J33)</f>
        <v>0.33333333333333331</v>
      </c>
      <c r="J38" s="106">
        <f>+I38*24/($I$37*24)</f>
        <v>1.28</v>
      </c>
      <c r="K38" s="102">
        <f>AVERAGE(G38+I38)/2</f>
        <v>0.54166666666666674</v>
      </c>
      <c r="L38" s="106">
        <f>+K38*24/($K$37*24)</f>
        <v>2.08</v>
      </c>
      <c r="M38" s="5"/>
      <c r="N38" s="5"/>
      <c r="O38" s="5"/>
      <c r="P38" s="5"/>
      <c r="Q38" s="5"/>
      <c r="R38" s="5"/>
      <c r="S38" s="5"/>
    </row>
    <row r="39" spans="2:24" ht="43.25" customHeight="1" thickBot="1" x14ac:dyDescent="0.4">
      <c r="E39" s="405" t="s">
        <v>94</v>
      </c>
      <c r="F39" s="405"/>
      <c r="G39" s="86"/>
      <c r="H39" s="107">
        <f>+AVERAGE(N21:N26)</f>
        <v>0.33333333333333331</v>
      </c>
      <c r="I39" s="86"/>
      <c r="J39" s="107">
        <f>+AVERAGE(N29:N33)</f>
        <v>1</v>
      </c>
      <c r="K39" s="103"/>
      <c r="L39" s="107">
        <f>+AVERAGE(N21:N33)</f>
        <v>0.7142857142857143</v>
      </c>
    </row>
    <row r="40" spans="2:24" ht="43.25" customHeight="1" x14ac:dyDescent="0.35">
      <c r="E40" s="79"/>
      <c r="F40" s="79"/>
      <c r="G40" s="80"/>
      <c r="H40" s="80"/>
      <c r="I40" s="78"/>
      <c r="J40" s="78"/>
      <c r="K40" s="78"/>
      <c r="L40" s="78"/>
    </row>
    <row r="41" spans="2:24" ht="43.25" customHeight="1" x14ac:dyDescent="0.35">
      <c r="E41" s="54"/>
      <c r="F41" s="54"/>
      <c r="G41" s="57"/>
      <c r="H41" s="53" t="s">
        <v>24</v>
      </c>
      <c r="I41" s="53" t="s">
        <v>199</v>
      </c>
      <c r="J41" s="53" t="s">
        <v>201</v>
      </c>
      <c r="K41" s="53" t="s">
        <v>200</v>
      </c>
      <c r="L41" s="345" t="s">
        <v>484</v>
      </c>
      <c r="M41" s="345" t="s">
        <v>485</v>
      </c>
      <c r="N41" s="53"/>
    </row>
    <row r="42" spans="2:24" x14ac:dyDescent="0.35">
      <c r="E42" s="421" t="s">
        <v>174</v>
      </c>
      <c r="F42" s="421"/>
      <c r="G42" s="421"/>
      <c r="H42" s="46">
        <f>SUMPRODUCT(N29:N33 * U29:U33 * (N29:N33&lt;&gt;"") * (U29:U33&lt;&gt;""))</f>
        <v>0.25024437927663734</v>
      </c>
      <c r="I42" s="108">
        <f>+H42*$J$42*$K$42</f>
        <v>5.6485161290322576</v>
      </c>
      <c r="J42" s="109">
        <v>6.6</v>
      </c>
      <c r="K42" s="110">
        <v>3.42</v>
      </c>
      <c r="L42" s="344">
        <v>56.080975609756102</v>
      </c>
      <c r="M42" s="344">
        <f>+L42*K42*H42</f>
        <v>47.996105342965457</v>
      </c>
    </row>
    <row r="43" spans="2:24" ht="14.4" customHeight="1" x14ac:dyDescent="0.35">
      <c r="E43" s="421" t="s">
        <v>175</v>
      </c>
      <c r="F43" s="421"/>
      <c r="G43" s="421"/>
      <c r="H43" s="46">
        <f>+SUMPRODUCT(N21:N26 * U21:U26 * (N21:N26&lt;&gt;"") * (U21:U26&lt;&gt;""))</f>
        <v>0.13519680547632629</v>
      </c>
      <c r="I43" s="108">
        <f>+H43*$J$43*$K$43</f>
        <v>5.4560022818026246</v>
      </c>
      <c r="J43" s="109">
        <v>11.8</v>
      </c>
      <c r="K43" s="110">
        <v>3.42</v>
      </c>
      <c r="L43" s="344">
        <v>118.52055555555555</v>
      </c>
      <c r="M43" s="344">
        <f>+L43*K43*H43</f>
        <v>54.800713690815734</v>
      </c>
    </row>
    <row r="44" spans="2:24" ht="14.4" customHeight="1" x14ac:dyDescent="0.35">
      <c r="E44" s="421" t="s">
        <v>224</v>
      </c>
      <c r="F44" s="421"/>
      <c r="G44" s="421"/>
      <c r="H44" s="46"/>
      <c r="I44" s="108">
        <f>+J44*K44</f>
        <v>0</v>
      </c>
      <c r="J44" s="128">
        <f>1892/1000000</f>
        <v>1.892E-3</v>
      </c>
      <c r="K44" s="127">
        <f>+((15*4.4)*2.72)*K31*0</f>
        <v>0</v>
      </c>
      <c r="L44" s="346">
        <v>1.6919982016368774E-2</v>
      </c>
      <c r="M44" s="344">
        <f>+L44*K44</f>
        <v>0</v>
      </c>
    </row>
    <row r="45" spans="2:24" ht="14.4" customHeight="1" x14ac:dyDescent="0.35">
      <c r="E45" s="421" t="s">
        <v>225</v>
      </c>
      <c r="F45" s="421"/>
      <c r="G45" s="421"/>
      <c r="H45" s="46"/>
      <c r="I45" s="108">
        <f>+J45*K45</f>
        <v>1.7291366400000001</v>
      </c>
      <c r="J45" s="128">
        <f>+J44</f>
        <v>1.892E-3</v>
      </c>
      <c r="K45" s="127">
        <f>+((15*2.8)*2.72)*8</f>
        <v>913.92000000000007</v>
      </c>
      <c r="L45" s="346">
        <v>1.6909997294111807E-2</v>
      </c>
      <c r="M45" s="344">
        <f>+L45*K45</f>
        <v>15.454384727034665</v>
      </c>
    </row>
    <row r="46" spans="2:24" ht="14.4" customHeight="1" x14ac:dyDescent="0.35">
      <c r="E46" s="421" t="s">
        <v>236</v>
      </c>
      <c r="F46" s="421"/>
      <c r="G46" s="421"/>
      <c r="H46" s="46"/>
      <c r="I46" s="108">
        <f>+J46*K46</f>
        <v>2.2084826399999997</v>
      </c>
      <c r="J46" s="128">
        <f>25508/1000000</f>
        <v>2.5507999999999999E-2</v>
      </c>
      <c r="K46" s="127">
        <f>14.43*6</f>
        <v>86.58</v>
      </c>
      <c r="L46" s="347" t="s">
        <v>486</v>
      </c>
      <c r="M46" s="228"/>
    </row>
    <row r="47" spans="2:24" ht="15" thickBot="1" x14ac:dyDescent="0.4">
      <c r="M47" s="352">
        <f>SUM(M42:M46)</f>
        <v>118.25120376081586</v>
      </c>
    </row>
    <row r="48" spans="2:24" ht="30" customHeight="1" thickBot="1" x14ac:dyDescent="0.4">
      <c r="B48" s="69"/>
      <c r="C48" s="404" t="s">
        <v>88</v>
      </c>
      <c r="D48" s="404"/>
      <c r="E48" s="70"/>
      <c r="F48" s="70"/>
      <c r="G48" s="70"/>
      <c r="H48" s="70"/>
      <c r="I48" s="71"/>
      <c r="J48" s="72"/>
    </row>
    <row r="49" spans="2:10" ht="38" customHeight="1" x14ac:dyDescent="0.35">
      <c r="C49" s="58" t="s">
        <v>89</v>
      </c>
      <c r="D49" s="55">
        <f>SUMPRODUCT((LEFT(G21:G33, 5)="Jumbo") / (COUNTIF(G21:G33, G21:G33 &amp; "") + (G21:G33="")))</f>
        <v>1</v>
      </c>
      <c r="E49" s="406" t="s">
        <v>90</v>
      </c>
      <c r="F49" s="406"/>
      <c r="G49" s="56">
        <v>0.20833333333333334</v>
      </c>
      <c r="I49" s="3"/>
      <c r="J49" s="5"/>
    </row>
    <row r="50" spans="2:10" ht="38" customHeight="1" x14ac:dyDescent="0.35">
      <c r="E50" s="406" t="s">
        <v>93</v>
      </c>
      <c r="F50" s="406"/>
      <c r="G50" s="55">
        <f>15000/(60)</f>
        <v>250</v>
      </c>
      <c r="H50" s="60" t="s">
        <v>143</v>
      </c>
      <c r="I50" s="3"/>
      <c r="J50" s="5"/>
    </row>
    <row r="51" spans="2:10" ht="38" customHeight="1" x14ac:dyDescent="0.35">
      <c r="E51" s="405" t="s">
        <v>91</v>
      </c>
      <c r="F51" s="405"/>
      <c r="G51" s="57">
        <f>+SUM(SUMIF($G$21:$G$33, "Jumbo*", $J$21:$J$33))/SUMPRODUCT((LEFT(G21:G33, 5)="Jumbo") / (COUNTIF(G21:G33, G21:G33 &amp; "") + (G21:G33="")))</f>
        <v>0.36805555555555558</v>
      </c>
      <c r="H51" s="39">
        <f>+G51*24/($G$49*24)</f>
        <v>1.7666666666666668</v>
      </c>
      <c r="I51" s="5"/>
      <c r="J51" s="5"/>
    </row>
    <row r="52" spans="2:10" ht="38" customHeight="1" x14ac:dyDescent="0.35">
      <c r="E52" s="405" t="s">
        <v>92</v>
      </c>
      <c r="F52" s="405"/>
      <c r="G52" s="59">
        <f>+SUM(V21:V33)/D49</f>
        <v>1067.8</v>
      </c>
      <c r="H52" s="39">
        <f>+G52/G50</f>
        <v>4.2711999999999994</v>
      </c>
      <c r="I52" s="5"/>
      <c r="J52" s="5"/>
    </row>
    <row r="53" spans="2:10" ht="38" customHeight="1" x14ac:dyDescent="0.35">
      <c r="G53" s="38" t="s">
        <v>87</v>
      </c>
      <c r="H53" s="3" t="s">
        <v>23</v>
      </c>
    </row>
    <row r="54" spans="2:10" ht="20" customHeight="1" x14ac:dyDescent="0.35">
      <c r="F54" s="53" t="s">
        <v>65</v>
      </c>
      <c r="G54" s="59">
        <f t="shared" ref="G54:G59" si="12" xml:space="preserve"> SUMIF($G$21:$G$33, +F54,$V$21:$V$33)</f>
        <v>0</v>
      </c>
      <c r="H54" s="39">
        <f t="shared" ref="H54:H59" si="13">+G54/$G$50</f>
        <v>0</v>
      </c>
    </row>
    <row r="55" spans="2:10" ht="20" customHeight="1" x14ac:dyDescent="0.35">
      <c r="F55" s="53" t="s">
        <v>66</v>
      </c>
      <c r="G55" s="59">
        <f t="shared" si="12"/>
        <v>0</v>
      </c>
      <c r="H55" s="39">
        <f t="shared" si="13"/>
        <v>0</v>
      </c>
    </row>
    <row r="56" spans="2:10" ht="20" customHeight="1" x14ac:dyDescent="0.35">
      <c r="F56" s="53" t="s">
        <v>67</v>
      </c>
      <c r="G56" s="59">
        <f t="shared" si="12"/>
        <v>0</v>
      </c>
      <c r="H56" s="39">
        <f t="shared" si="13"/>
        <v>0</v>
      </c>
    </row>
    <row r="57" spans="2:10" ht="20" customHeight="1" x14ac:dyDescent="0.35">
      <c r="F57" s="53" t="s">
        <v>68</v>
      </c>
      <c r="G57" s="59">
        <f t="shared" si="12"/>
        <v>0</v>
      </c>
      <c r="H57" s="39">
        <f t="shared" si="13"/>
        <v>0</v>
      </c>
    </row>
    <row r="58" spans="2:10" ht="20" customHeight="1" x14ac:dyDescent="0.35">
      <c r="F58" s="53" t="s">
        <v>69</v>
      </c>
      <c r="G58" s="59">
        <f t="shared" si="12"/>
        <v>0</v>
      </c>
      <c r="H58" s="39">
        <f t="shared" si="13"/>
        <v>0</v>
      </c>
    </row>
    <row r="59" spans="2:10" ht="20" customHeight="1" x14ac:dyDescent="0.35">
      <c r="F59" s="53" t="s">
        <v>70</v>
      </c>
      <c r="G59" s="59">
        <f t="shared" si="12"/>
        <v>0</v>
      </c>
      <c r="H59" s="39">
        <f t="shared" si="13"/>
        <v>0</v>
      </c>
    </row>
    <row r="60" spans="2:10" ht="20" customHeight="1" x14ac:dyDescent="0.35">
      <c r="F60" s="53" t="s">
        <v>146</v>
      </c>
      <c r="G60" s="111">
        <f>+SUM(G54:G59)</f>
        <v>0</v>
      </c>
      <c r="H60" s="39">
        <f>+G60/($G$50*$D$49)</f>
        <v>0</v>
      </c>
    </row>
    <row r="61" spans="2:10" ht="15" thickBot="1" x14ac:dyDescent="0.4"/>
    <row r="62" spans="2:10" ht="30" customHeight="1" thickBot="1" x14ac:dyDescent="0.4">
      <c r="B62" s="69"/>
      <c r="C62" s="404" t="s">
        <v>107</v>
      </c>
      <c r="D62" s="404"/>
      <c r="E62" s="70"/>
      <c r="F62" s="70"/>
      <c r="G62" s="70"/>
      <c r="H62" s="70"/>
      <c r="I62" s="71"/>
      <c r="J62" s="72"/>
    </row>
    <row r="63" spans="2:10" ht="38" customHeight="1" x14ac:dyDescent="0.35">
      <c r="C63" s="53" t="s">
        <v>95</v>
      </c>
      <c r="D63" s="55">
        <f>SUMPRODUCT((LEFT(G21:G33, 5)="Scoop") / (COUNTIF(G21:G33, G21:G33 &amp; "") + (G21:G33="")))</f>
        <v>1</v>
      </c>
      <c r="E63" s="406" t="s">
        <v>90</v>
      </c>
      <c r="F63" s="406"/>
      <c r="G63" s="56">
        <v>0.20833333333333334</v>
      </c>
      <c r="I63" s="3"/>
      <c r="J63" s="5"/>
    </row>
    <row r="64" spans="2:10" ht="38" customHeight="1" x14ac:dyDescent="0.35">
      <c r="C64" s="53" t="s">
        <v>145</v>
      </c>
      <c r="D64" s="55">
        <v>4.9000000000000004</v>
      </c>
      <c r="E64" s="406" t="s">
        <v>97</v>
      </c>
      <c r="F64" s="406"/>
      <c r="G64" s="55">
        <f>15000/(60)</f>
        <v>250</v>
      </c>
      <c r="H64" s="60" t="s">
        <v>23</v>
      </c>
      <c r="I64" s="3"/>
      <c r="J64" s="5"/>
    </row>
    <row r="65" spans="2:10" ht="38" customHeight="1" x14ac:dyDescent="0.35">
      <c r="E65" s="405" t="s">
        <v>98</v>
      </c>
      <c r="F65" s="405"/>
      <c r="G65" s="57">
        <f>+SUM(SUMIF($G$21:$G$33, "Scoop*", $J$21:$J$33))/SUMPRODUCT((LEFT(G21:G33, 5)="Scoop") / (COUNTIF(G21:G33, G21:G33 &amp; "") + (G21:G33="")))</f>
        <v>0.10416666666666669</v>
      </c>
      <c r="H65" s="39">
        <f>+G65*24/($G$63*24)</f>
        <v>0.50000000000000011</v>
      </c>
      <c r="I65" s="5"/>
      <c r="J65" s="5"/>
    </row>
    <row r="66" spans="2:10" ht="38" customHeight="1" x14ac:dyDescent="0.35">
      <c r="E66" s="405" t="s">
        <v>99</v>
      </c>
      <c r="F66" s="405"/>
      <c r="G66" s="59">
        <f>+SUM(W21:W33)*D64/D63</f>
        <v>0</v>
      </c>
      <c r="H66" s="39">
        <f>+G66/G64</f>
        <v>0</v>
      </c>
      <c r="I66" s="5"/>
      <c r="J66" s="5"/>
    </row>
    <row r="67" spans="2:10" ht="38" customHeight="1" x14ac:dyDescent="0.35">
      <c r="G67" s="38" t="s">
        <v>96</v>
      </c>
      <c r="H67" s="3" t="s">
        <v>23</v>
      </c>
    </row>
    <row r="68" spans="2:10" ht="20" customHeight="1" x14ac:dyDescent="0.35">
      <c r="F68" s="53" t="s">
        <v>71</v>
      </c>
      <c r="G68" s="59">
        <f t="shared" ref="G68:G73" si="14" xml:space="preserve"> SUMIF($G$21:$G$33, +F68,$W$21:$W$33)*$D$64</f>
        <v>0</v>
      </c>
      <c r="H68" s="39">
        <f>+G68/$G$64</f>
        <v>0</v>
      </c>
    </row>
    <row r="69" spans="2:10" ht="20" customHeight="1" x14ac:dyDescent="0.35">
      <c r="F69" s="53" t="s">
        <v>72</v>
      </c>
      <c r="G69" s="59">
        <f t="shared" si="14"/>
        <v>0</v>
      </c>
      <c r="H69" s="39">
        <f t="shared" ref="H69:H74" si="15">+G69/$G$64</f>
        <v>0</v>
      </c>
    </row>
    <row r="70" spans="2:10" ht="20" customHeight="1" x14ac:dyDescent="0.35">
      <c r="F70" s="53" t="s">
        <v>73</v>
      </c>
      <c r="G70" s="59">
        <f t="shared" si="14"/>
        <v>0</v>
      </c>
      <c r="H70" s="39">
        <f t="shared" si="15"/>
        <v>0</v>
      </c>
    </row>
    <row r="71" spans="2:10" ht="20" customHeight="1" x14ac:dyDescent="0.35">
      <c r="F71" s="53" t="s">
        <v>74</v>
      </c>
      <c r="G71" s="59">
        <f t="shared" si="14"/>
        <v>0</v>
      </c>
      <c r="H71" s="39">
        <f t="shared" si="15"/>
        <v>0</v>
      </c>
    </row>
    <row r="72" spans="2:10" ht="20" customHeight="1" x14ac:dyDescent="0.35">
      <c r="F72" s="53" t="s">
        <v>75</v>
      </c>
      <c r="G72" s="59">
        <f t="shared" si="14"/>
        <v>0</v>
      </c>
      <c r="H72" s="39">
        <f t="shared" si="15"/>
        <v>0</v>
      </c>
    </row>
    <row r="73" spans="2:10" ht="20" customHeight="1" x14ac:dyDescent="0.35">
      <c r="F73" s="53" t="s">
        <v>76</v>
      </c>
      <c r="G73" s="59">
        <f t="shared" si="14"/>
        <v>0</v>
      </c>
      <c r="H73" s="39">
        <f t="shared" si="15"/>
        <v>0</v>
      </c>
    </row>
    <row r="74" spans="2:10" ht="20" customHeight="1" x14ac:dyDescent="0.35">
      <c r="F74" s="53" t="s">
        <v>146</v>
      </c>
      <c r="G74" s="111">
        <f>+SUM(G68:G73)</f>
        <v>0</v>
      </c>
      <c r="H74" s="39">
        <f t="shared" si="15"/>
        <v>0</v>
      </c>
    </row>
    <row r="75" spans="2:10" ht="15" thickBot="1" x14ac:dyDescent="0.4"/>
    <row r="76" spans="2:10" ht="30" customHeight="1" thickBot="1" x14ac:dyDescent="0.4">
      <c r="B76" s="69"/>
      <c r="C76" s="404" t="s">
        <v>149</v>
      </c>
      <c r="D76" s="404"/>
      <c r="E76" s="70"/>
      <c r="F76" s="70"/>
      <c r="G76" s="70"/>
      <c r="H76" s="70"/>
      <c r="I76" s="71"/>
      <c r="J76" s="72"/>
    </row>
    <row r="77" spans="2:10" ht="25.25" customHeight="1" x14ac:dyDescent="0.35">
      <c r="C77" s="53" t="s">
        <v>150</v>
      </c>
      <c r="D77" s="55">
        <f>SUMPRODUCT((LEFT(G21:G33, 8)="Roboshot") / (COUNTIF(G21:G33, G21:G33 &amp; "") + (G21:G33="")))</f>
        <v>0</v>
      </c>
      <c r="E77" s="406" t="s">
        <v>90</v>
      </c>
      <c r="F77" s="406"/>
      <c r="G77" s="56">
        <v>0.20833333333333334</v>
      </c>
    </row>
    <row r="78" spans="2:10" x14ac:dyDescent="0.35">
      <c r="C78" s="53"/>
      <c r="D78" s="55"/>
      <c r="E78" s="406" t="s">
        <v>97</v>
      </c>
      <c r="F78" s="406"/>
      <c r="G78" s="55">
        <v>12</v>
      </c>
      <c r="H78" s="60" t="s">
        <v>23</v>
      </c>
    </row>
    <row r="80" spans="2:10" x14ac:dyDescent="0.35">
      <c r="G80" s="38" t="s">
        <v>96</v>
      </c>
      <c r="H80" s="3" t="s">
        <v>23</v>
      </c>
    </row>
    <row r="81" spans="6:8" x14ac:dyDescent="0.35">
      <c r="F81" s="53" t="s">
        <v>77</v>
      </c>
      <c r="G81" s="59">
        <f xml:space="preserve"> SUMIF($G$21:$G$33, +F81,$X$21:$X$33)</f>
        <v>0</v>
      </c>
      <c r="H81" s="39">
        <f>+G81/$G$78</f>
        <v>0</v>
      </c>
    </row>
    <row r="82" spans="6:8" x14ac:dyDescent="0.35">
      <c r="F82" s="53" t="s">
        <v>78</v>
      </c>
      <c r="G82" s="59">
        <f xml:space="preserve"> SUMIF($G$21:$G$33, +F82,$X$21:$X$33)</f>
        <v>0</v>
      </c>
      <c r="H82" s="39">
        <f t="shared" ref="H82:H83" si="16">+G82/$G$78</f>
        <v>0</v>
      </c>
    </row>
    <row r="83" spans="6:8" x14ac:dyDescent="0.35">
      <c r="F83" s="53" t="s">
        <v>79</v>
      </c>
      <c r="G83" s="59">
        <f xml:space="preserve"> SUMIF($G$21:$G$33, +F83,$X$21:$X$33)</f>
        <v>0</v>
      </c>
      <c r="H83" s="39">
        <f t="shared" si="16"/>
        <v>0</v>
      </c>
    </row>
    <row r="84" spans="6:8" x14ac:dyDescent="0.35">
      <c r="F84" s="53" t="s">
        <v>146</v>
      </c>
      <c r="G84" s="111">
        <f>+SUM(G81:G83)</f>
        <v>0</v>
      </c>
      <c r="H84" s="39">
        <f>+G84/$G$78</f>
        <v>0</v>
      </c>
    </row>
  </sheetData>
  <mergeCells count="36">
    <mergeCell ref="E77:F77"/>
    <mergeCell ref="E78:F78"/>
    <mergeCell ref="E46:G46"/>
    <mergeCell ref="C62:D62"/>
    <mergeCell ref="E63:F63"/>
    <mergeCell ref="E64:F64"/>
    <mergeCell ref="E65:F65"/>
    <mergeCell ref="E66:F66"/>
    <mergeCell ref="C76:D76"/>
    <mergeCell ref="E52:F52"/>
    <mergeCell ref="E45:G45"/>
    <mergeCell ref="C48:D48"/>
    <mergeCell ref="E49:F49"/>
    <mergeCell ref="E50:F50"/>
    <mergeCell ref="E51:F51"/>
    <mergeCell ref="E44:G44"/>
    <mergeCell ref="K9:L9"/>
    <mergeCell ref="K10:L10"/>
    <mergeCell ref="K11:L11"/>
    <mergeCell ref="K12:L12"/>
    <mergeCell ref="B14:S14"/>
    <mergeCell ref="C36:D36"/>
    <mergeCell ref="G36:H36"/>
    <mergeCell ref="I36:J36"/>
    <mergeCell ref="K36:L36"/>
    <mergeCell ref="E37:F37"/>
    <mergeCell ref="E38:F38"/>
    <mergeCell ref="E39:F39"/>
    <mergeCell ref="E42:G42"/>
    <mergeCell ref="E43:G43"/>
    <mergeCell ref="K8:L8"/>
    <mergeCell ref="B1:D4"/>
    <mergeCell ref="E2:R2"/>
    <mergeCell ref="E3:R4"/>
    <mergeCell ref="K6:L6"/>
    <mergeCell ref="K7:L7"/>
  </mergeCells>
  <conditionalFormatting sqref="H38:H39 J38:J39">
    <cfRule type="cellIs" dxfId="1133" priority="13" operator="greaterThan">
      <formula>0.9</formula>
    </cfRule>
    <cfRule type="cellIs" dxfId="1132" priority="14" operator="between">
      <formula>0.81</formula>
      <formula>0.89</formula>
    </cfRule>
    <cfRule type="cellIs" dxfId="1131" priority="15" operator="lessThan">
      <formula>0.8</formula>
    </cfRule>
  </conditionalFormatting>
  <conditionalFormatting sqref="H51:H52">
    <cfRule type="cellIs" dxfId="1130" priority="16" operator="greaterThan">
      <formula>0.9</formula>
    </cfRule>
    <cfRule type="cellIs" dxfId="1129" priority="17" operator="between">
      <formula>0.81</formula>
      <formula>0.89</formula>
    </cfRule>
    <cfRule type="cellIs" dxfId="1128" priority="18" operator="lessThan">
      <formula>0.8</formula>
    </cfRule>
  </conditionalFormatting>
  <conditionalFormatting sqref="H54:H60">
    <cfRule type="cellIs" dxfId="1127" priority="19" operator="greaterThan">
      <formula>0.9</formula>
    </cfRule>
    <cfRule type="cellIs" dxfId="1126" priority="20" operator="between">
      <formula>0.81</formula>
      <formula>0.89</formula>
    </cfRule>
    <cfRule type="cellIs" dxfId="1125" priority="21" operator="lessThan">
      <formula>0.8</formula>
    </cfRule>
  </conditionalFormatting>
  <conditionalFormatting sqref="H65:H66">
    <cfRule type="cellIs" dxfId="1124" priority="7" operator="greaterThan">
      <formula>0.9</formula>
    </cfRule>
    <cfRule type="cellIs" dxfId="1123" priority="8" operator="between">
      <formula>0.81</formula>
      <formula>0.89</formula>
    </cfRule>
    <cfRule type="cellIs" dxfId="1122" priority="9" operator="lessThan">
      <formula>0.8</formula>
    </cfRule>
  </conditionalFormatting>
  <conditionalFormatting sqref="H68:H74">
    <cfRule type="cellIs" dxfId="1121" priority="10" operator="greaterThan">
      <formula>0.9</formula>
    </cfRule>
    <cfRule type="cellIs" dxfId="1120" priority="11" operator="between">
      <formula>0.81</formula>
      <formula>0.89</formula>
    </cfRule>
    <cfRule type="cellIs" dxfId="1119" priority="12" operator="lessThan">
      <formula>0.8</formula>
    </cfRule>
  </conditionalFormatting>
  <conditionalFormatting sqref="H81:H84">
    <cfRule type="cellIs" dxfId="1118" priority="4" operator="greaterThan">
      <formula>0.9</formula>
    </cfRule>
    <cfRule type="cellIs" dxfId="1117" priority="5" operator="between">
      <formula>0.81</formula>
      <formula>0.89</formula>
    </cfRule>
    <cfRule type="cellIs" dxfId="1116" priority="6" operator="lessThan">
      <formula>0.8</formula>
    </cfRule>
  </conditionalFormatting>
  <conditionalFormatting sqref="L38:L39">
    <cfRule type="cellIs" dxfId="1115" priority="1" operator="greaterThan">
      <formula>0.9</formula>
    </cfRule>
    <cfRule type="cellIs" dxfId="1114" priority="2" operator="between">
      <formula>0.81</formula>
      <formula>0.89</formula>
    </cfRule>
    <cfRule type="cellIs" dxfId="1113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F018762-2A8C-4FB4-B718-1992B120FD8F}">
          <x14:formula1>
            <xm:f>Datos!$B$3:$B$8</xm:f>
          </x14:formula1>
          <xm:sqref>E21:E26 E29:E34</xm:sqref>
        </x14:dataValidation>
        <x14:dataValidation type="list" allowBlank="1" showInputMessage="1" showErrorMessage="1" xr:uid="{4A2466BA-58DA-47D1-8CDC-E463B6A2E6D7}">
          <x14:formula1>
            <xm:f>Datos!$D$3:$D$27</xm:f>
          </x14:formula1>
          <xm:sqref>F21:F26 F29:F34</xm:sqref>
        </x14:dataValidation>
        <x14:dataValidation type="list" allowBlank="1" showInputMessage="1" showErrorMessage="1" xr:uid="{F821677A-B96B-4B3F-8AF7-D9AD3C12D9E4}">
          <x14:formula1>
            <xm:f>Datos!$W$3:$W$12</xm:f>
          </x14:formula1>
          <xm:sqref>L29:L34 L21:L26</xm:sqref>
        </x14:dataValidation>
        <x14:dataValidation type="list" allowBlank="1" showInputMessage="1" showErrorMessage="1" xr:uid="{81DA8FEE-DB2F-4102-A8C4-DB46F92055FE}">
          <x14:formula1>
            <xm:f>Datos!$F$3:$F$41</xm:f>
          </x14:formula1>
          <xm:sqref>G21:G26 G29:G34</xm:sqref>
        </x14:dataValidation>
        <x14:dataValidation type="list" allowBlank="1" showInputMessage="1" showErrorMessage="1" xr:uid="{57B329A4-22D2-49E3-9036-668EB3CB921D}">
          <x14:formula1>
            <xm:f>Datos!$H$3:$H$26</xm:f>
          </x14:formula1>
          <xm:sqref>D21:D26 D32:D34 D29:D30</xm:sqref>
        </x14:dataValidation>
        <x14:dataValidation type="list" allowBlank="1" showInputMessage="1" showErrorMessage="1" xr:uid="{BA098BE7-9FF5-450D-9C2E-892152EB161F}">
          <x14:formula1>
            <xm:f>Datos!$H$3:$H$52</xm:f>
          </x14:formula1>
          <xm:sqref>D31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5F8C-F779-4ED7-91DB-2A1D7C6088F1}">
  <sheetPr>
    <pageSetUpPr fitToPage="1"/>
  </sheetPr>
  <dimension ref="B1:X83"/>
  <sheetViews>
    <sheetView showGridLines="0" topLeftCell="A19" zoomScale="85" zoomScaleNormal="85" zoomScaleSheetLayoutView="50" workbookViewId="0">
      <pane xSplit="3" ySplit="2" topLeftCell="D33" activePane="bottomRight" state="frozen"/>
      <selection activeCell="M47" sqref="M47"/>
      <selection pane="topRight" activeCell="M47" sqref="M47"/>
      <selection pane="bottomLeft" activeCell="M47" sqref="M47"/>
      <selection pane="bottomRight" activeCell="M46" sqref="M46"/>
    </sheetView>
  </sheetViews>
  <sheetFormatPr baseColWidth="10" defaultRowHeight="14.5" x14ac:dyDescent="0.35"/>
  <cols>
    <col min="1" max="1" width="2.81640625" customWidth="1"/>
    <col min="2" max="2" width="8.81640625" bestFit="1" customWidth="1"/>
    <col min="3" max="3" width="32.81640625" bestFit="1" customWidth="1"/>
    <col min="4" max="4" width="24.08984375" customWidth="1"/>
    <col min="5" max="5" width="13.36328125" bestFit="1" customWidth="1"/>
    <col min="6" max="6" width="19.453125" customWidth="1"/>
    <col min="7" max="7" width="21.81640625" customWidth="1"/>
    <col min="8" max="8" width="19.36328125" bestFit="1" customWidth="1"/>
    <col min="9" max="9" width="11.81640625" customWidth="1"/>
    <col min="10" max="10" width="20.6328125" customWidth="1"/>
    <col min="11" max="11" width="19.1796875" customWidth="1"/>
    <col min="12" max="12" width="22.453125" customWidth="1"/>
    <col min="13" max="13" width="19" customWidth="1"/>
    <col min="14" max="14" width="19.6328125" customWidth="1"/>
    <col min="15" max="15" width="55.90625" customWidth="1"/>
    <col min="16" max="16" width="25.453125" customWidth="1"/>
    <col min="17" max="17" width="12.6328125" customWidth="1"/>
    <col min="18" max="18" width="12.08984375" customWidth="1"/>
    <col min="19" max="19" width="19.54296875" customWidth="1"/>
    <col min="20" max="20" width="4" customWidth="1"/>
    <col min="21" max="21" width="20.54296875" customWidth="1"/>
    <col min="22" max="24" width="11.54296875" customWidth="1"/>
  </cols>
  <sheetData>
    <row r="1" spans="2:19" ht="24.5" hidden="1" customHeight="1" x14ac:dyDescent="0.35">
      <c r="B1" s="409"/>
      <c r="C1" s="410"/>
      <c r="D1" s="411"/>
      <c r="S1" s="1" t="s">
        <v>10</v>
      </c>
    </row>
    <row r="2" spans="2:19" ht="24.5" hidden="1" customHeight="1" x14ac:dyDescent="0.35">
      <c r="B2" s="412"/>
      <c r="C2" s="413"/>
      <c r="D2" s="414"/>
      <c r="E2" s="415" t="s">
        <v>0</v>
      </c>
      <c r="F2" s="415"/>
      <c r="G2" s="415"/>
      <c r="H2" s="415"/>
      <c r="I2" s="415"/>
      <c r="J2" s="415"/>
      <c r="K2" s="415"/>
      <c r="L2" s="415"/>
      <c r="M2" s="415"/>
      <c r="N2" s="415"/>
      <c r="O2" s="415"/>
      <c r="P2" s="415"/>
      <c r="Q2" s="415"/>
      <c r="R2" s="415"/>
      <c r="S2" s="2"/>
    </row>
    <row r="3" spans="2:19" hidden="1" x14ac:dyDescent="0.35">
      <c r="B3" s="412"/>
      <c r="C3" s="413"/>
      <c r="D3" s="414"/>
      <c r="E3" s="415" t="s">
        <v>17</v>
      </c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6"/>
      <c r="S3" s="2" t="s">
        <v>1</v>
      </c>
    </row>
    <row r="4" spans="2:19" hidden="1" x14ac:dyDescent="0.35">
      <c r="B4" s="412"/>
      <c r="C4" s="413"/>
      <c r="D4" s="414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6"/>
      <c r="S4" s="19" t="s">
        <v>16</v>
      </c>
    </row>
    <row r="5" spans="2:19" ht="17" hidden="1" customHeight="1" x14ac:dyDescent="0.4">
      <c r="B5" s="20"/>
      <c r="C5" s="21"/>
      <c r="D5" s="22"/>
      <c r="E5" s="23"/>
      <c r="F5" s="23"/>
      <c r="G5" s="23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4"/>
    </row>
    <row r="6" spans="2:19" ht="17" hidden="1" customHeight="1" x14ac:dyDescent="0.4">
      <c r="B6" s="25"/>
      <c r="C6" s="61" t="s">
        <v>18</v>
      </c>
      <c r="D6" s="52"/>
      <c r="E6" s="10"/>
      <c r="F6" s="10"/>
      <c r="G6" s="10"/>
      <c r="H6" s="9"/>
      <c r="I6" s="9"/>
      <c r="J6" s="52"/>
      <c r="K6" s="420" t="s">
        <v>119</v>
      </c>
      <c r="L6" s="420"/>
      <c r="M6" s="48">
        <f>+G38</f>
        <v>0.58333333333333326</v>
      </c>
      <c r="O6" s="9"/>
      <c r="P6" s="9"/>
      <c r="Q6" s="9"/>
      <c r="R6" s="9"/>
      <c r="S6" s="26"/>
    </row>
    <row r="7" spans="2:19" ht="17" hidden="1" customHeight="1" x14ac:dyDescent="0.4">
      <c r="B7" s="25"/>
      <c r="C7" s="52" t="s">
        <v>19</v>
      </c>
      <c r="D7" s="52"/>
      <c r="E7" s="10"/>
      <c r="F7" s="10"/>
      <c r="G7" s="10"/>
      <c r="H7" s="9"/>
      <c r="I7" s="9"/>
      <c r="J7" s="52"/>
      <c r="K7" s="420" t="s">
        <v>117</v>
      </c>
      <c r="L7" s="420"/>
      <c r="M7" s="49">
        <f>+H39</f>
        <v>0.33333333333333331</v>
      </c>
      <c r="O7" s="9"/>
      <c r="P7" s="9"/>
      <c r="Q7" s="9"/>
      <c r="R7" s="9"/>
      <c r="S7" s="26"/>
    </row>
    <row r="8" spans="2:19" ht="17" hidden="1" customHeight="1" x14ac:dyDescent="0.4">
      <c r="B8" s="25"/>
      <c r="C8" s="52" t="s">
        <v>20</v>
      </c>
      <c r="D8" s="52"/>
      <c r="E8" s="10"/>
      <c r="F8" s="10"/>
      <c r="G8" s="10"/>
      <c r="H8" s="9"/>
      <c r="I8" s="9"/>
      <c r="J8" s="52" t="s">
        <v>115</v>
      </c>
      <c r="K8" s="420" t="s">
        <v>118</v>
      </c>
      <c r="L8" s="420"/>
      <c r="M8" s="50">
        <f>+G59</f>
        <v>0</v>
      </c>
      <c r="O8" s="9"/>
      <c r="P8" s="9"/>
      <c r="Q8" s="9"/>
      <c r="R8" s="9"/>
      <c r="S8" s="26"/>
    </row>
    <row r="9" spans="2:19" ht="17" hidden="1" customHeight="1" x14ac:dyDescent="0.4">
      <c r="B9" s="25"/>
      <c r="C9" s="52" t="s">
        <v>21</v>
      </c>
      <c r="D9" s="52"/>
      <c r="E9" s="10"/>
      <c r="F9" s="10"/>
      <c r="G9" s="10"/>
      <c r="H9" s="9"/>
      <c r="I9" s="9"/>
      <c r="J9" s="52" t="s">
        <v>116</v>
      </c>
      <c r="K9" s="420" t="s">
        <v>147</v>
      </c>
      <c r="L9" s="420"/>
      <c r="M9" s="50">
        <f>+G73</f>
        <v>0</v>
      </c>
      <c r="O9" s="9"/>
      <c r="P9" s="9"/>
      <c r="Q9" s="9"/>
      <c r="R9" s="9"/>
      <c r="S9" s="26"/>
    </row>
    <row r="10" spans="2:19" ht="17" hidden="1" customHeight="1" x14ac:dyDescent="0.4">
      <c r="B10" s="25"/>
      <c r="C10" s="52"/>
      <c r="D10" s="52"/>
      <c r="E10" s="10"/>
      <c r="F10" s="10"/>
      <c r="G10" s="10"/>
      <c r="H10" s="9"/>
      <c r="I10" s="9"/>
      <c r="J10" s="52"/>
      <c r="K10" s="420" t="s">
        <v>148</v>
      </c>
      <c r="L10" s="420"/>
      <c r="M10" s="50">
        <f>+G83</f>
        <v>0</v>
      </c>
      <c r="O10" s="9"/>
      <c r="P10" s="9"/>
      <c r="Q10" s="9"/>
      <c r="R10" s="9"/>
      <c r="S10" s="26"/>
    </row>
    <row r="11" spans="2:19" ht="17" hidden="1" customHeight="1" x14ac:dyDescent="0.4">
      <c r="B11" s="25"/>
      <c r="C11" s="61"/>
      <c r="D11" s="52"/>
      <c r="E11" s="10"/>
      <c r="F11" s="10"/>
      <c r="G11" s="10"/>
      <c r="H11" s="9"/>
      <c r="I11" s="9"/>
      <c r="J11" s="52"/>
      <c r="K11" s="420" t="s">
        <v>120</v>
      </c>
      <c r="L11" s="420"/>
      <c r="M11" s="51" t="e">
        <f>+#REF!</f>
        <v>#REF!</v>
      </c>
      <c r="O11" s="9"/>
      <c r="P11" s="9"/>
      <c r="Q11" s="9"/>
      <c r="R11" s="9"/>
      <c r="S11" s="26"/>
    </row>
    <row r="12" spans="2:19" ht="17" hidden="1" customHeight="1" x14ac:dyDescent="0.4">
      <c r="B12" s="25"/>
      <c r="C12" s="52"/>
      <c r="D12" s="52"/>
      <c r="E12" s="10"/>
      <c r="F12" s="10"/>
      <c r="G12" s="10"/>
      <c r="H12" s="9"/>
      <c r="I12" s="9"/>
      <c r="J12" s="52"/>
      <c r="K12" s="420" t="s">
        <v>133</v>
      </c>
      <c r="L12" s="420"/>
      <c r="M12" s="62">
        <f>+D15+D16+D17+D18</f>
        <v>0</v>
      </c>
      <c r="O12" s="9"/>
      <c r="P12" s="9"/>
      <c r="Q12" s="9"/>
      <c r="R12" s="9"/>
      <c r="S12" s="26"/>
    </row>
    <row r="13" spans="2:19" ht="17" hidden="1" customHeight="1" x14ac:dyDescent="0.4">
      <c r="B13" s="27"/>
      <c r="C13" s="17"/>
      <c r="D13" s="28"/>
      <c r="E13" s="29"/>
      <c r="F13" s="29"/>
      <c r="G13" s="29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30"/>
    </row>
    <row r="14" spans="2:19" ht="17" hidden="1" customHeight="1" x14ac:dyDescent="0.4">
      <c r="B14" s="426" t="s">
        <v>15</v>
      </c>
      <c r="C14" s="427"/>
      <c r="D14" s="427"/>
      <c r="E14" s="427"/>
      <c r="F14" s="427"/>
      <c r="G14" s="427"/>
      <c r="H14" s="427"/>
      <c r="I14" s="427"/>
      <c r="J14" s="427"/>
      <c r="K14" s="427"/>
      <c r="L14" s="427"/>
      <c r="M14" s="427"/>
      <c r="N14" s="427"/>
      <c r="O14" s="427"/>
      <c r="P14" s="427"/>
      <c r="Q14" s="427"/>
      <c r="R14" s="427"/>
      <c r="S14" s="428"/>
    </row>
    <row r="15" spans="2:19" ht="21" hidden="1" customHeight="1" x14ac:dyDescent="0.35">
      <c r="B15" s="31" t="s">
        <v>6</v>
      </c>
      <c r="C15" s="11" t="s">
        <v>8</v>
      </c>
      <c r="D15" s="12">
        <f>+K15+P15</f>
        <v>0</v>
      </c>
      <c r="E15" s="12"/>
      <c r="F15" s="12"/>
      <c r="G15" s="12"/>
      <c r="H15" s="12" t="s">
        <v>11</v>
      </c>
      <c r="I15" s="12"/>
      <c r="J15" s="11" t="s">
        <v>8</v>
      </c>
      <c r="K15" s="12"/>
      <c r="L15" s="13"/>
      <c r="M15" s="13"/>
      <c r="N15" s="33" t="s">
        <v>13</v>
      </c>
      <c r="O15" s="11" t="s">
        <v>8</v>
      </c>
      <c r="P15" s="12"/>
      <c r="Q15" s="13"/>
      <c r="R15" s="12"/>
      <c r="S15" s="14"/>
    </row>
    <row r="16" spans="2:19" ht="21" hidden="1" customHeight="1" x14ac:dyDescent="0.35">
      <c r="B16" s="32"/>
      <c r="C16" s="15" t="s">
        <v>9</v>
      </c>
      <c r="D16" s="16">
        <f>+K16+P16</f>
        <v>0</v>
      </c>
      <c r="E16" s="16"/>
      <c r="F16" s="16"/>
      <c r="G16" s="16"/>
      <c r="H16" s="16"/>
      <c r="I16" s="16"/>
      <c r="J16" s="15" t="s">
        <v>9</v>
      </c>
      <c r="K16" s="16"/>
      <c r="L16" s="17"/>
      <c r="M16" s="17"/>
      <c r="N16" s="34"/>
      <c r="O16" s="15" t="s">
        <v>9</v>
      </c>
      <c r="P16" s="16"/>
      <c r="Q16" s="17"/>
      <c r="R16" s="16"/>
      <c r="S16" s="18"/>
    </row>
    <row r="17" spans="2:24" ht="21" hidden="1" customHeight="1" x14ac:dyDescent="0.35">
      <c r="B17" s="31" t="s">
        <v>7</v>
      </c>
      <c r="C17" s="11" t="s">
        <v>8</v>
      </c>
      <c r="D17" s="12">
        <f>+K17+P17</f>
        <v>0</v>
      </c>
      <c r="E17" s="12"/>
      <c r="F17" s="12"/>
      <c r="G17" s="12"/>
      <c r="H17" s="12" t="s">
        <v>12</v>
      </c>
      <c r="I17" s="12"/>
      <c r="J17" s="11" t="s">
        <v>8</v>
      </c>
      <c r="K17" s="12"/>
      <c r="L17" s="13"/>
      <c r="M17" s="13"/>
      <c r="N17" s="33" t="s">
        <v>14</v>
      </c>
      <c r="O17" s="11" t="s">
        <v>8</v>
      </c>
      <c r="P17" s="12"/>
      <c r="Q17" s="13"/>
      <c r="R17" s="12"/>
      <c r="S17" s="14"/>
    </row>
    <row r="18" spans="2:24" ht="21" hidden="1" customHeight="1" x14ac:dyDescent="0.35">
      <c r="B18" s="32"/>
      <c r="C18" s="15" t="s">
        <v>9</v>
      </c>
      <c r="D18" s="16">
        <f>+K18+P18</f>
        <v>0</v>
      </c>
      <c r="E18" s="16"/>
      <c r="F18" s="16"/>
      <c r="G18" s="16"/>
      <c r="H18" s="16"/>
      <c r="I18" s="16"/>
      <c r="J18" s="15" t="s">
        <v>9</v>
      </c>
      <c r="K18" s="16"/>
      <c r="L18" s="17"/>
      <c r="M18" s="17"/>
      <c r="N18" s="34"/>
      <c r="O18" s="15" t="s">
        <v>9</v>
      </c>
      <c r="P18" s="16"/>
      <c r="Q18" s="17"/>
      <c r="R18" s="16"/>
      <c r="S18" s="18"/>
    </row>
    <row r="19" spans="2:24" ht="17" customHeight="1" x14ac:dyDescent="0.4">
      <c r="B19" s="91" t="s">
        <v>158</v>
      </c>
      <c r="C19" s="63" t="s">
        <v>177</v>
      </c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3"/>
    </row>
    <row r="20" spans="2:24" ht="80.400000000000006" customHeight="1" x14ac:dyDescent="0.35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41" t="s">
        <v>131</v>
      </c>
      <c r="L20" s="47" t="s">
        <v>123</v>
      </c>
      <c r="M20" s="40" t="s">
        <v>134</v>
      </c>
      <c r="N20" s="41" t="s">
        <v>24</v>
      </c>
      <c r="O20" s="41" t="s">
        <v>130</v>
      </c>
      <c r="P20" s="40" t="s">
        <v>159</v>
      </c>
      <c r="Q20" s="40" t="s">
        <v>121</v>
      </c>
      <c r="R20" s="40" t="s">
        <v>4</v>
      </c>
      <c r="S20" s="41" t="s">
        <v>137</v>
      </c>
      <c r="U20" s="40" t="s">
        <v>109</v>
      </c>
      <c r="V20" s="41" t="s">
        <v>87</v>
      </c>
      <c r="W20" s="41" t="s">
        <v>128</v>
      </c>
      <c r="X20" s="41" t="s">
        <v>62</v>
      </c>
    </row>
    <row r="21" spans="2:24" ht="38" customHeight="1" x14ac:dyDescent="0.35">
      <c r="B21" s="4"/>
      <c r="C21" s="94" t="str">
        <f>+Datos!$R$2</f>
        <v>Ciclo Minero 10,0 x 7,2 m
Galería Inyección Principal</v>
      </c>
      <c r="D21" s="94" t="s">
        <v>59</v>
      </c>
      <c r="E21" s="4" t="s">
        <v>6</v>
      </c>
      <c r="F21" s="4" t="s">
        <v>165</v>
      </c>
      <c r="G21" s="4" t="s">
        <v>213</v>
      </c>
      <c r="H21" s="6">
        <v>0.89583333333333337</v>
      </c>
      <c r="I21" s="6">
        <v>0.91666666666666663</v>
      </c>
      <c r="J21" s="36">
        <f t="shared" ref="J21:J23" si="0">MOD(I21-H21, 1)</f>
        <v>2.0833333333333259E-2</v>
      </c>
      <c r="K21" s="96">
        <v>0</v>
      </c>
      <c r="L21" s="65"/>
      <c r="M21" s="66" t="s">
        <v>162</v>
      </c>
      <c r="N21" s="37">
        <v>0</v>
      </c>
      <c r="O21" s="130" t="s">
        <v>239</v>
      </c>
      <c r="P21" s="4"/>
      <c r="Q21" s="6"/>
      <c r="R21" s="6"/>
      <c r="S21" s="36">
        <f>+MOD(R21-Q21,1)</f>
        <v>0</v>
      </c>
      <c r="U21" s="126">
        <f>+IFERROR(VLOOKUP(D21,Datos!$R$3:$T$19,3,FALSE), "0")*N21</f>
        <v>0</v>
      </c>
      <c r="V21" s="67" t="str">
        <f>IF(OR(D21="Perforación de Fortificación", D21="Perforación de Avance", D21="Perforación Desquinche"), K21*M21, "")</f>
        <v/>
      </c>
      <c r="W21" s="67" t="str">
        <f>IF(D21="Extracción de Marina Disparo",K21,"")</f>
        <v/>
      </c>
      <c r="X21" s="67" t="str">
        <f>IF(OR(D21="Shotcrete", D21="Pre Shotcrete"), K21, "")</f>
        <v/>
      </c>
    </row>
    <row r="22" spans="2:24" ht="38" customHeight="1" x14ac:dyDescent="0.35">
      <c r="B22" s="4"/>
      <c r="C22" s="94" t="str">
        <f>+C21</f>
        <v>Ciclo Minero 10,0 x 7,2 m
Galería Inyección Principal</v>
      </c>
      <c r="D22" s="94" t="s">
        <v>56</v>
      </c>
      <c r="E22" s="4" t="s">
        <v>6</v>
      </c>
      <c r="F22" s="4" t="s">
        <v>165</v>
      </c>
      <c r="G22" s="4" t="s">
        <v>211</v>
      </c>
      <c r="H22" s="6">
        <v>0.93055555555555558</v>
      </c>
      <c r="I22" s="6">
        <v>0.97222222222222221</v>
      </c>
      <c r="J22" s="36">
        <f t="shared" si="0"/>
        <v>4.166666666666663E-2</v>
      </c>
      <c r="K22" s="7">
        <v>0</v>
      </c>
      <c r="L22" s="65"/>
      <c r="M22" s="66">
        <v>0</v>
      </c>
      <c r="N22" s="37">
        <v>0</v>
      </c>
      <c r="O22" s="130" t="s">
        <v>240</v>
      </c>
      <c r="P22" s="4"/>
      <c r="Q22" s="6"/>
      <c r="R22" s="4"/>
      <c r="S22" s="36">
        <f t="shared" ref="S22:S26" si="1">+MOD(R22-Q22,1)</f>
        <v>0</v>
      </c>
      <c r="U22" s="126">
        <f>+IFERROR(VLOOKUP(D22,Datos!$R$3:$T$19,3,FALSE), "0")*N22</f>
        <v>0</v>
      </c>
      <c r="V22" s="67" t="str">
        <f t="shared" ref="V22:V26" si="2">IF(OR(D22="Perforación de Fortificación", D22="Perforación de Avance", D22="Perforación Desquinche"), K22*M22, "")</f>
        <v/>
      </c>
      <c r="W22" s="67" t="str">
        <f t="shared" ref="W22:W26" si="3">IF(D22="Extracción de Marina Disparo",K22,"")</f>
        <v/>
      </c>
      <c r="X22" s="67" t="str">
        <f t="shared" ref="X22:X26" si="4">IF(OR(D22="Shotcrete", D22="Pre Shotcrete"), K22, "")</f>
        <v/>
      </c>
    </row>
    <row r="23" spans="2:24" ht="38" customHeight="1" x14ac:dyDescent="0.35">
      <c r="B23" s="4"/>
      <c r="C23" s="94" t="str">
        <f t="shared" ref="C23:C25" si="5">+C22</f>
        <v>Ciclo Minero 10,0 x 7,2 m
Galería Inyección Principal</v>
      </c>
      <c r="D23" s="94" t="s">
        <v>55</v>
      </c>
      <c r="E23" s="4" t="s">
        <v>6</v>
      </c>
      <c r="F23" s="4" t="s">
        <v>165</v>
      </c>
      <c r="G23" s="4" t="s">
        <v>211</v>
      </c>
      <c r="H23" s="6">
        <v>0.97222222222222221</v>
      </c>
      <c r="I23" s="6">
        <v>0.2013888888888889</v>
      </c>
      <c r="J23" s="36">
        <f t="shared" si="0"/>
        <v>0.22916666666666674</v>
      </c>
      <c r="K23" s="7">
        <f>176+6</f>
        <v>182</v>
      </c>
      <c r="L23" s="65" t="s">
        <v>129</v>
      </c>
      <c r="M23" s="66">
        <v>3.8</v>
      </c>
      <c r="N23" s="37">
        <v>1</v>
      </c>
      <c r="O23" s="129"/>
      <c r="P23" s="4"/>
      <c r="Q23" s="4"/>
      <c r="R23" s="4"/>
      <c r="S23" s="36">
        <f t="shared" si="1"/>
        <v>0</v>
      </c>
      <c r="U23" s="126" t="str">
        <f>+IFERROR(VLOOKUP(D23,Datos!$R$3:$T$19,3,FALSE), "0")</f>
        <v>0</v>
      </c>
      <c r="V23" s="67" t="str">
        <f t="shared" si="2"/>
        <v/>
      </c>
      <c r="W23" s="67" t="str">
        <f t="shared" si="3"/>
        <v/>
      </c>
      <c r="X23" s="67" t="str">
        <f t="shared" si="4"/>
        <v/>
      </c>
    </row>
    <row r="24" spans="2:24" ht="38" customHeight="1" x14ac:dyDescent="0.35">
      <c r="B24" s="4"/>
      <c r="C24" s="94" t="str">
        <f t="shared" si="5"/>
        <v>Ciclo Minero 10,0 x 7,2 m
Galería Inyección Principal</v>
      </c>
      <c r="D24" s="94"/>
      <c r="E24" s="4"/>
      <c r="F24" s="4"/>
      <c r="G24" s="4"/>
      <c r="H24" s="6"/>
      <c r="I24" s="6"/>
      <c r="J24" s="36"/>
      <c r="K24" s="7"/>
      <c r="L24" s="65"/>
      <c r="M24" s="66"/>
      <c r="N24" s="37"/>
      <c r="O24" s="129"/>
      <c r="P24" s="4"/>
      <c r="Q24" s="4"/>
      <c r="R24" s="4"/>
      <c r="S24" s="36">
        <f t="shared" si="1"/>
        <v>0</v>
      </c>
      <c r="U24" s="126" t="str">
        <f>+IFERROR(VLOOKUP(D24,Datos!$R$3:$T$19,3,FALSE), "0")</f>
        <v>0</v>
      </c>
      <c r="V24" s="67" t="str">
        <f t="shared" si="2"/>
        <v/>
      </c>
      <c r="W24" s="67" t="str">
        <f t="shared" si="3"/>
        <v/>
      </c>
      <c r="X24" s="67" t="str">
        <f t="shared" si="4"/>
        <v/>
      </c>
    </row>
    <row r="25" spans="2:24" ht="38" customHeight="1" x14ac:dyDescent="0.35">
      <c r="B25" s="4"/>
      <c r="C25" s="94" t="str">
        <f t="shared" si="5"/>
        <v>Ciclo Minero 10,0 x 7,2 m
Galería Inyección Principal</v>
      </c>
      <c r="D25" s="94"/>
      <c r="E25" s="4"/>
      <c r="F25" s="4"/>
      <c r="G25" s="4"/>
      <c r="H25" s="6"/>
      <c r="I25" s="6"/>
      <c r="J25" s="36"/>
      <c r="K25" s="7"/>
      <c r="L25" s="65"/>
      <c r="M25" s="66"/>
      <c r="N25" s="37"/>
      <c r="O25" s="129"/>
      <c r="P25" s="4"/>
      <c r="Q25" s="4"/>
      <c r="R25" s="4"/>
      <c r="S25" s="36">
        <f t="shared" si="1"/>
        <v>0</v>
      </c>
      <c r="U25" s="126" t="str">
        <f>+IFERROR(VLOOKUP(D25,Datos!$R$3:$T$19,3,FALSE), "0")</f>
        <v>0</v>
      </c>
      <c r="V25" s="67" t="str">
        <f t="shared" si="2"/>
        <v/>
      </c>
      <c r="W25" s="67" t="str">
        <f t="shared" si="3"/>
        <v/>
      </c>
      <c r="X25" s="67" t="str">
        <f t="shared" si="4"/>
        <v/>
      </c>
    </row>
    <row r="26" spans="2:24" ht="38" customHeight="1" x14ac:dyDescent="0.35">
      <c r="B26" s="4"/>
      <c r="C26" s="94"/>
      <c r="D26" s="94"/>
      <c r="E26" s="4"/>
      <c r="F26" s="4"/>
      <c r="G26" s="4"/>
      <c r="H26" s="6"/>
      <c r="I26" s="6"/>
      <c r="J26" s="36">
        <f>SUM(J21:J25)</f>
        <v>0.29166666666666663</v>
      </c>
      <c r="K26" s="7"/>
      <c r="L26" s="65"/>
      <c r="M26" s="66"/>
      <c r="N26" s="37"/>
      <c r="O26" s="129" t="s">
        <v>232</v>
      </c>
      <c r="P26" s="4"/>
      <c r="Q26" s="4"/>
      <c r="R26" s="4"/>
      <c r="S26" s="36">
        <f t="shared" si="1"/>
        <v>0</v>
      </c>
      <c r="U26" s="45">
        <f>+Datos!T17</f>
        <v>5.7045065601825425E-3</v>
      </c>
      <c r="V26" s="67" t="str">
        <f t="shared" si="2"/>
        <v/>
      </c>
      <c r="W26" s="67" t="str">
        <f t="shared" si="3"/>
        <v/>
      </c>
      <c r="X26" s="67" t="str">
        <f t="shared" si="4"/>
        <v/>
      </c>
    </row>
    <row r="27" spans="2:24" ht="17" x14ac:dyDescent="0.4">
      <c r="B27" s="90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41"/>
      <c r="L27" s="47"/>
      <c r="M27" s="40"/>
      <c r="N27" s="41"/>
      <c r="O27" s="41"/>
      <c r="P27" s="40"/>
      <c r="Q27" s="40"/>
      <c r="R27" s="40"/>
      <c r="S27" s="41"/>
      <c r="U27" s="40"/>
      <c r="V27" s="41"/>
      <c r="W27" s="41"/>
      <c r="X27" s="41"/>
    </row>
    <row r="28" spans="2:24" ht="72.5" x14ac:dyDescent="0.35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41" t="s">
        <v>131</v>
      </c>
      <c r="L28" s="47" t="s">
        <v>123</v>
      </c>
      <c r="M28" s="40" t="s">
        <v>134</v>
      </c>
      <c r="N28" s="41" t="s">
        <v>24</v>
      </c>
      <c r="O28" s="41" t="s">
        <v>130</v>
      </c>
      <c r="P28" s="40" t="s">
        <v>132</v>
      </c>
      <c r="Q28" s="40" t="s">
        <v>121</v>
      </c>
      <c r="R28" s="40" t="s">
        <v>4</v>
      </c>
      <c r="S28" s="41" t="s">
        <v>137</v>
      </c>
      <c r="U28" s="40" t="s">
        <v>109</v>
      </c>
      <c r="V28" s="41" t="s">
        <v>87</v>
      </c>
      <c r="W28" s="41" t="s">
        <v>128</v>
      </c>
      <c r="X28" s="41" t="s">
        <v>128</v>
      </c>
    </row>
    <row r="29" spans="2:24" ht="38" customHeight="1" x14ac:dyDescent="0.35">
      <c r="B29" s="4"/>
      <c r="C29" s="94" t="str">
        <f>+Datos!R23</f>
        <v>Ciclo Minero 5,2 x 5,6 m
Galería Acceso Portal de Servicio</v>
      </c>
      <c r="D29" s="94" t="s">
        <v>56</v>
      </c>
      <c r="E29" s="4" t="s">
        <v>6</v>
      </c>
      <c r="F29" s="4" t="s">
        <v>166</v>
      </c>
      <c r="G29" s="4" t="s">
        <v>211</v>
      </c>
      <c r="H29" s="6">
        <v>0.89583333333333337</v>
      </c>
      <c r="I29" s="6">
        <v>0.91666666666666663</v>
      </c>
      <c r="J29" s="36">
        <f t="shared" ref="J29:J33" si="6">MOD(I29-H29, 1)</f>
        <v>2.0833333333333259E-2</v>
      </c>
      <c r="K29" s="7"/>
      <c r="L29" s="65"/>
      <c r="M29" s="66">
        <v>0</v>
      </c>
      <c r="N29" s="37">
        <v>0</v>
      </c>
      <c r="O29" s="95" t="s">
        <v>238</v>
      </c>
      <c r="P29" s="4"/>
      <c r="Q29" s="6"/>
      <c r="R29" s="6"/>
      <c r="S29" s="36">
        <f>+MOD(R29-Q29,1)</f>
        <v>0</v>
      </c>
      <c r="U29" s="124">
        <f>+IFERROR(VLOOKUP(D29,Datos!$R$24:$T$40,3,FALSE), "0")*N29</f>
        <v>0</v>
      </c>
      <c r="V29" s="67" t="str">
        <f t="shared" ref="V29:V34" si="7">IF(OR(D29="Perforación de Fortificación", D29="Perforación de Avance", D29="Perforación Desquinche"), K29*M29, "")</f>
        <v/>
      </c>
      <c r="W29" s="67" t="str">
        <f>IF(D29="Extracción de Marina Disparo",K29,"")</f>
        <v/>
      </c>
      <c r="X29" s="67" t="str">
        <f t="shared" ref="X29:X34" si="8">IF(OR(D29="Shotcrete", D29="Pre Shotcrete"), K29, "")</f>
        <v/>
      </c>
    </row>
    <row r="30" spans="2:24" ht="38" customHeight="1" x14ac:dyDescent="0.35">
      <c r="B30" s="4"/>
      <c r="C30" s="94" t="str">
        <f>+C29</f>
        <v>Ciclo Minero 5,2 x 5,6 m
Galería Acceso Portal de Servicio</v>
      </c>
      <c r="D30" s="94" t="s">
        <v>59</v>
      </c>
      <c r="E30" s="4" t="s">
        <v>6</v>
      </c>
      <c r="F30" s="4" t="s">
        <v>166</v>
      </c>
      <c r="G30" s="4" t="s">
        <v>208</v>
      </c>
      <c r="H30" s="6">
        <v>0.91666666666666663</v>
      </c>
      <c r="I30" s="6">
        <v>0.9375</v>
      </c>
      <c r="J30" s="36">
        <f t="shared" si="6"/>
        <v>2.083333333333337E-2</v>
      </c>
      <c r="K30" s="7"/>
      <c r="L30" s="65"/>
      <c r="M30" s="66">
        <v>0</v>
      </c>
      <c r="N30" s="37">
        <v>1</v>
      </c>
      <c r="O30" s="37"/>
      <c r="P30" s="4"/>
      <c r="Q30" s="4"/>
      <c r="R30" s="4"/>
      <c r="S30" s="36">
        <f t="shared" ref="S30:S34" si="9">+MOD(R30-Q30,1)</f>
        <v>0</v>
      </c>
      <c r="U30" s="124">
        <f>+IFERROR(VLOOKUP(D30,Datos!$R$24:$T$40,3,FALSE), "0")</f>
        <v>9.7751710654936444E-3</v>
      </c>
      <c r="V30" s="67" t="str">
        <f t="shared" si="7"/>
        <v/>
      </c>
      <c r="W30" s="67" t="str">
        <f t="shared" ref="W30:W34" si="10">IF(D30="Extracción de Marina Disparo",K30,"")</f>
        <v/>
      </c>
      <c r="X30" s="67" t="str">
        <f t="shared" si="8"/>
        <v/>
      </c>
    </row>
    <row r="31" spans="2:24" ht="38" customHeight="1" x14ac:dyDescent="0.35">
      <c r="B31" s="4"/>
      <c r="C31" s="94" t="str">
        <f t="shared" ref="C31:C34" si="11">+C30</f>
        <v>Ciclo Minero 5,2 x 5,6 m
Galería Acceso Portal de Servicio</v>
      </c>
      <c r="D31" s="94" t="s">
        <v>55</v>
      </c>
      <c r="E31" s="4" t="s">
        <v>6</v>
      </c>
      <c r="F31" s="4" t="s">
        <v>166</v>
      </c>
      <c r="G31" s="4"/>
      <c r="H31" s="6">
        <v>0.9375</v>
      </c>
      <c r="I31" s="6">
        <v>9.7222222222222224E-2</v>
      </c>
      <c r="J31" s="36">
        <f t="shared" si="6"/>
        <v>0.15972222222222221</v>
      </c>
      <c r="K31" s="7">
        <v>0</v>
      </c>
      <c r="L31" s="65"/>
      <c r="M31" s="66">
        <v>0</v>
      </c>
      <c r="N31" s="37">
        <v>1</v>
      </c>
      <c r="O31" s="37"/>
      <c r="P31" s="4"/>
      <c r="Q31" s="4"/>
      <c r="R31" s="4"/>
      <c r="S31" s="36">
        <f t="shared" si="9"/>
        <v>0</v>
      </c>
      <c r="U31" s="124" t="str">
        <f>+IFERROR(VLOOKUP(D31,Datos!$R$24:$T$40,3,FALSE), "0")</f>
        <v>0</v>
      </c>
      <c r="V31" s="67" t="str">
        <f t="shared" si="7"/>
        <v/>
      </c>
      <c r="W31" s="67" t="str">
        <f t="shared" si="10"/>
        <v/>
      </c>
      <c r="X31" s="67" t="str">
        <f t="shared" si="8"/>
        <v/>
      </c>
    </row>
    <row r="32" spans="2:24" ht="38" customHeight="1" x14ac:dyDescent="0.35">
      <c r="B32" s="4"/>
      <c r="C32" s="94" t="str">
        <f t="shared" si="11"/>
        <v>Ciclo Minero 5,2 x 5,6 m
Galería Acceso Portal de Servicio</v>
      </c>
      <c r="D32" s="94" t="s">
        <v>104</v>
      </c>
      <c r="E32" s="4" t="s">
        <v>6</v>
      </c>
      <c r="F32" s="4" t="s">
        <v>166</v>
      </c>
      <c r="G32" s="4" t="s">
        <v>204</v>
      </c>
      <c r="H32" s="6">
        <v>9.7222222222222224E-2</v>
      </c>
      <c r="I32" s="6">
        <v>0.20833333333333334</v>
      </c>
      <c r="J32" s="36">
        <f t="shared" si="6"/>
        <v>0.11111111111111112</v>
      </c>
      <c r="K32" s="7">
        <v>42</v>
      </c>
      <c r="L32" s="65" t="s">
        <v>128</v>
      </c>
      <c r="M32" s="66"/>
      <c r="N32" s="37">
        <v>1</v>
      </c>
      <c r="O32" s="37"/>
      <c r="P32" s="4"/>
      <c r="Q32" s="4"/>
      <c r="R32" s="4"/>
      <c r="S32" s="36">
        <f t="shared" si="9"/>
        <v>0</v>
      </c>
      <c r="U32" s="124">
        <f>+IFERROR(VLOOKUP(D32,Datos!$R$24:$T$40,3,FALSE), "0")</f>
        <v>0.17399804496578691</v>
      </c>
      <c r="V32" s="67" t="str">
        <f t="shared" si="7"/>
        <v/>
      </c>
      <c r="W32" s="67">
        <f t="shared" si="10"/>
        <v>42</v>
      </c>
      <c r="X32" s="67" t="str">
        <f t="shared" si="8"/>
        <v/>
      </c>
    </row>
    <row r="33" spans="2:24" ht="38" customHeight="1" x14ac:dyDescent="0.35">
      <c r="B33" s="4"/>
      <c r="C33" s="94" t="str">
        <f t="shared" si="11"/>
        <v>Ciclo Minero 5,2 x 5,6 m
Galería Acceso Portal de Servicio</v>
      </c>
      <c r="D33" s="94" t="s">
        <v>56</v>
      </c>
      <c r="E33" s="4" t="s">
        <v>6</v>
      </c>
      <c r="F33" s="4" t="s">
        <v>166</v>
      </c>
      <c r="G33" s="4" t="s">
        <v>211</v>
      </c>
      <c r="H33" s="6">
        <v>0.20833333333333334</v>
      </c>
      <c r="I33" s="6">
        <v>0.2638888888888889</v>
      </c>
      <c r="J33" s="36">
        <f t="shared" si="6"/>
        <v>5.5555555555555552E-2</v>
      </c>
      <c r="K33" s="7"/>
      <c r="L33" s="65"/>
      <c r="M33" s="66"/>
      <c r="N33" s="37">
        <v>0.8</v>
      </c>
      <c r="O33" s="37"/>
      <c r="P33" s="4"/>
      <c r="Q33" s="4"/>
      <c r="R33" s="4"/>
      <c r="S33" s="36">
        <f t="shared" si="9"/>
        <v>0</v>
      </c>
      <c r="U33" s="124">
        <f>+IFERROR(VLOOKUP(D33,Datos!$R$24:$T$40,3,FALSE), "0")*N33</f>
        <v>4.4574780058651023E-2</v>
      </c>
      <c r="V33" s="67" t="str">
        <f t="shared" si="7"/>
        <v/>
      </c>
      <c r="W33" s="67" t="str">
        <f t="shared" si="10"/>
        <v/>
      </c>
      <c r="X33" s="67" t="str">
        <f t="shared" si="8"/>
        <v/>
      </c>
    </row>
    <row r="34" spans="2:24" ht="38" customHeight="1" x14ac:dyDescent="0.35">
      <c r="B34" s="4"/>
      <c r="C34" s="94" t="str">
        <f t="shared" si="11"/>
        <v>Ciclo Minero 5,2 x 5,6 m
Galería Acceso Portal de Servicio</v>
      </c>
      <c r="D34" s="94"/>
      <c r="E34" s="4"/>
      <c r="F34" s="4"/>
      <c r="G34" s="4"/>
      <c r="H34" s="6"/>
      <c r="I34" s="4"/>
      <c r="J34" s="36">
        <f>SUM(J29:J33)</f>
        <v>0.36805555555555547</v>
      </c>
      <c r="K34" s="7"/>
      <c r="L34" s="65"/>
      <c r="M34" s="66"/>
      <c r="N34" s="37"/>
      <c r="O34" s="37" t="s">
        <v>237</v>
      </c>
      <c r="P34" s="4"/>
      <c r="Q34" s="4"/>
      <c r="R34" s="4"/>
      <c r="S34" s="36">
        <f t="shared" si="9"/>
        <v>0</v>
      </c>
      <c r="U34" s="45"/>
      <c r="V34" s="67" t="str">
        <f t="shared" si="7"/>
        <v/>
      </c>
      <c r="W34" s="67" t="str">
        <f t="shared" si="10"/>
        <v/>
      </c>
      <c r="X34" s="67" t="str">
        <f t="shared" si="8"/>
        <v/>
      </c>
    </row>
    <row r="35" spans="2:24" ht="15.65" customHeight="1" thickBot="1" x14ac:dyDescent="0.4">
      <c r="B35" s="5"/>
      <c r="C35" s="5"/>
      <c r="D35" s="5"/>
      <c r="E35" s="5"/>
      <c r="F35" s="5"/>
      <c r="G35" s="5"/>
      <c r="H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2:24" ht="30" customHeight="1" thickBot="1" x14ac:dyDescent="0.4">
      <c r="B36" s="69"/>
      <c r="C36" s="404" t="s">
        <v>64</v>
      </c>
      <c r="D36" s="404"/>
      <c r="E36" s="70"/>
      <c r="F36" s="70"/>
      <c r="G36" s="424">
        <v>3500</v>
      </c>
      <c r="H36" s="425"/>
      <c r="I36" s="424">
        <v>3700</v>
      </c>
      <c r="J36" s="425"/>
      <c r="K36" s="429" t="s">
        <v>146</v>
      </c>
      <c r="L36" s="430"/>
      <c r="M36" s="5"/>
      <c r="N36" s="5"/>
      <c r="O36" s="5"/>
      <c r="P36" s="5"/>
      <c r="Q36" s="5"/>
      <c r="R36" s="5"/>
      <c r="S36" s="5"/>
    </row>
    <row r="37" spans="2:24" ht="30" customHeight="1" x14ac:dyDescent="0.35">
      <c r="C37" s="54" t="s">
        <v>48</v>
      </c>
      <c r="D37" s="55">
        <f>SUMPRODUCT((LEFT(F21:F33, 1)="C") / (COUNTIF(F21:F33, F21:F33 &amp; "") + (F21:F33="")))</f>
        <v>0</v>
      </c>
      <c r="E37" s="406" t="s">
        <v>90</v>
      </c>
      <c r="F37" s="406"/>
      <c r="G37" s="82">
        <v>0.26041666666666669</v>
      </c>
      <c r="H37" s="105" t="s">
        <v>23</v>
      </c>
      <c r="I37" s="82">
        <v>0.26041666666666669</v>
      </c>
      <c r="J37" s="105" t="s">
        <v>23</v>
      </c>
      <c r="K37" s="101">
        <f>+G37</f>
        <v>0.26041666666666669</v>
      </c>
      <c r="L37" s="105" t="s">
        <v>23</v>
      </c>
      <c r="M37" s="5"/>
      <c r="N37" s="5"/>
      <c r="O37" s="5"/>
      <c r="P37" s="5"/>
      <c r="Q37" s="5"/>
      <c r="R37" s="5"/>
      <c r="S37" s="5"/>
    </row>
    <row r="38" spans="2:24" x14ac:dyDescent="0.35">
      <c r="C38" s="54" t="s">
        <v>49</v>
      </c>
      <c r="D38" s="55">
        <f>SUMPRODUCT((LEFT(F21:F33, 1)="O") / (COUNTIF(F21:F33, F21:F33 &amp; "") + (F21:F33="")))</f>
        <v>0</v>
      </c>
      <c r="E38" s="405" t="s">
        <v>198</v>
      </c>
      <c r="F38" s="405"/>
      <c r="G38" s="84">
        <f>SUM(J21:J26)</f>
        <v>0.58333333333333326</v>
      </c>
      <c r="H38" s="106">
        <f>+G38*24/($G$37*24)</f>
        <v>2.2399999999999998</v>
      </c>
      <c r="I38" s="84">
        <f>SUM(J29:J33)</f>
        <v>0.36805555555555547</v>
      </c>
      <c r="J38" s="106">
        <f>+I38*24/($I$37*24)</f>
        <v>1.4133333333333331</v>
      </c>
      <c r="K38" s="102">
        <f>AVERAGE(G38+I38)/2</f>
        <v>0.47569444444444436</v>
      </c>
      <c r="L38" s="106">
        <f>+K38*24/($K$37*24)</f>
        <v>1.8266666666666662</v>
      </c>
      <c r="M38" s="5"/>
      <c r="N38" s="5"/>
      <c r="O38" s="5"/>
      <c r="P38" s="5"/>
      <c r="Q38" s="5"/>
      <c r="R38" s="5"/>
      <c r="S38" s="5"/>
    </row>
    <row r="39" spans="2:24" ht="43.25" customHeight="1" thickBot="1" x14ac:dyDescent="0.4">
      <c r="E39" s="405" t="s">
        <v>94</v>
      </c>
      <c r="F39" s="405"/>
      <c r="G39" s="86"/>
      <c r="H39" s="107">
        <f>+AVERAGE(N21:N26)</f>
        <v>0.33333333333333331</v>
      </c>
      <c r="I39" s="86"/>
      <c r="J39" s="107">
        <f>+AVERAGE(N29:N33)</f>
        <v>0.76</v>
      </c>
      <c r="K39" s="103"/>
      <c r="L39" s="107">
        <f>+AVERAGE(N21:N33)</f>
        <v>0.6</v>
      </c>
    </row>
    <row r="40" spans="2:24" ht="43.25" customHeight="1" x14ac:dyDescent="0.35">
      <c r="E40" s="79"/>
      <c r="F40" s="79"/>
      <c r="G40" s="80"/>
      <c r="H40" s="80"/>
      <c r="I40" s="78"/>
      <c r="J40" s="78"/>
      <c r="K40" s="78"/>
      <c r="L40" s="78"/>
    </row>
    <row r="41" spans="2:24" ht="43.25" customHeight="1" x14ac:dyDescent="0.35">
      <c r="E41" s="54"/>
      <c r="F41" s="54"/>
      <c r="G41" s="57"/>
      <c r="H41" s="53" t="s">
        <v>24</v>
      </c>
      <c r="I41" s="53" t="s">
        <v>199</v>
      </c>
      <c r="J41" s="53" t="s">
        <v>201</v>
      </c>
      <c r="K41" s="53" t="s">
        <v>200</v>
      </c>
      <c r="L41" s="345" t="s">
        <v>484</v>
      </c>
      <c r="M41" s="345" t="s">
        <v>485</v>
      </c>
      <c r="N41" s="53"/>
    </row>
    <row r="42" spans="2:24" x14ac:dyDescent="0.35">
      <c r="E42" s="421" t="s">
        <v>174</v>
      </c>
      <c r="F42" s="421"/>
      <c r="G42" s="421"/>
      <c r="H42" s="46">
        <f>SUMPRODUCT(N29:N33 * U29:U33 * (N29:N33&lt;&gt;"") * (U29:U33&lt;&gt;""))</f>
        <v>0.21943304007820136</v>
      </c>
      <c r="I42" s="108">
        <f>+H42*$J$42*$K$42</f>
        <v>4.9530425806451612</v>
      </c>
      <c r="J42" s="109">
        <v>6.6</v>
      </c>
      <c r="K42" s="110">
        <v>3.42</v>
      </c>
      <c r="L42" s="344">
        <v>56.080975609756102</v>
      </c>
      <c r="M42" s="344">
        <f>+L42*K42*H42</f>
        <v>42.086584872612832</v>
      </c>
    </row>
    <row r="43" spans="2:24" ht="14.4" customHeight="1" x14ac:dyDescent="0.35">
      <c r="E43" s="421" t="s">
        <v>175</v>
      </c>
      <c r="F43" s="421"/>
      <c r="G43" s="421"/>
      <c r="H43" s="46">
        <f>+SUMPRODUCT(N21:N26 * U21:U26 * (N21:N26&lt;&gt;"") * (U21:U26&lt;&gt;""))</f>
        <v>0</v>
      </c>
      <c r="I43" s="108">
        <f>+H43*$J$43*$K$43</f>
        <v>0</v>
      </c>
      <c r="J43" s="109">
        <v>11.8</v>
      </c>
      <c r="K43" s="110">
        <v>3.42</v>
      </c>
      <c r="L43" s="344">
        <v>118.52055555555555</v>
      </c>
      <c r="M43" s="344">
        <f>+L43*K43*H43</f>
        <v>0</v>
      </c>
    </row>
    <row r="44" spans="2:24" ht="14.4" customHeight="1" x14ac:dyDescent="0.35">
      <c r="E44" s="421" t="s">
        <v>224</v>
      </c>
      <c r="F44" s="421"/>
      <c r="G44" s="421"/>
      <c r="H44" s="46"/>
      <c r="I44" s="108">
        <f>+J44*K44</f>
        <v>0</v>
      </c>
      <c r="J44" s="128">
        <f>1892/1000000</f>
        <v>1.892E-3</v>
      </c>
      <c r="K44" s="127">
        <f>+((15*4.4)*2.72)*K31*0</f>
        <v>0</v>
      </c>
      <c r="L44" s="346">
        <v>1.6919982016368774E-2</v>
      </c>
      <c r="M44" s="344">
        <f>+L44*K44</f>
        <v>0</v>
      </c>
    </row>
    <row r="45" spans="2:24" ht="14.4" customHeight="1" x14ac:dyDescent="0.35">
      <c r="E45" s="421" t="s">
        <v>225</v>
      </c>
      <c r="F45" s="421"/>
      <c r="G45" s="421"/>
      <c r="H45" s="46"/>
      <c r="I45" s="108">
        <f>+J45*K45</f>
        <v>0</v>
      </c>
      <c r="J45" s="128">
        <f>+J44</f>
        <v>1.892E-3</v>
      </c>
      <c r="K45" s="127">
        <f>+((15*2.8)*2.72)*K32*0</f>
        <v>0</v>
      </c>
      <c r="L45" s="346">
        <v>1.6909997294111807E-2</v>
      </c>
      <c r="M45" s="344">
        <f>+L45*K45</f>
        <v>0</v>
      </c>
    </row>
    <row r="46" spans="2:24" ht="15" thickBot="1" x14ac:dyDescent="0.4">
      <c r="L46" s="348"/>
      <c r="M46" s="352">
        <f>SUM(M42:M45)</f>
        <v>42.086584872612832</v>
      </c>
    </row>
    <row r="47" spans="2:24" ht="30" customHeight="1" thickBot="1" x14ac:dyDescent="0.4">
      <c r="B47" s="69"/>
      <c r="C47" s="404" t="s">
        <v>88</v>
      </c>
      <c r="D47" s="404"/>
      <c r="E47" s="70"/>
      <c r="F47" s="70"/>
      <c r="G47" s="70"/>
      <c r="H47" s="70"/>
      <c r="I47" s="71"/>
      <c r="J47" s="72"/>
    </row>
    <row r="48" spans="2:24" ht="38" customHeight="1" x14ac:dyDescent="0.35">
      <c r="C48" s="58" t="s">
        <v>89</v>
      </c>
      <c r="D48" s="55">
        <f>SUMPRODUCT((LEFT(G21:G33, 5)="Jumbo") / (COUNTIF(G21:G33, G21:G33 &amp; "") + (G21:G33="")))</f>
        <v>0</v>
      </c>
      <c r="E48" s="406" t="s">
        <v>90</v>
      </c>
      <c r="F48" s="406"/>
      <c r="G48" s="56">
        <v>0.20833333333333334</v>
      </c>
      <c r="I48" s="3"/>
      <c r="J48" s="5"/>
    </row>
    <row r="49" spans="2:10" ht="38" customHeight="1" x14ac:dyDescent="0.35">
      <c r="E49" s="406" t="s">
        <v>93</v>
      </c>
      <c r="F49" s="406"/>
      <c r="G49" s="55">
        <f>15000/(60)</f>
        <v>250</v>
      </c>
      <c r="H49" s="60" t="s">
        <v>143</v>
      </c>
      <c r="I49" s="3"/>
      <c r="J49" s="5"/>
    </row>
    <row r="50" spans="2:10" ht="38" customHeight="1" x14ac:dyDescent="0.35">
      <c r="E50" s="405" t="s">
        <v>91</v>
      </c>
      <c r="F50" s="405"/>
      <c r="G50" s="57" t="e">
        <f>+SUM(SUMIF($G$21:$G$33, "Jumbo*", $J$21:$J$33))/SUMPRODUCT((LEFT(G21:G33, 5)="Jumbo") / (COUNTIF(G21:G33, G21:G33 &amp; "") + (G21:G33="")))</f>
        <v>#DIV/0!</v>
      </c>
      <c r="H50" s="39" t="e">
        <f>+G50*24/($G$48*24)</f>
        <v>#DIV/0!</v>
      </c>
      <c r="I50" s="5"/>
      <c r="J50" s="5"/>
    </row>
    <row r="51" spans="2:10" ht="38" customHeight="1" x14ac:dyDescent="0.35">
      <c r="E51" s="405" t="s">
        <v>92</v>
      </c>
      <c r="F51" s="405"/>
      <c r="G51" s="59" t="e">
        <f>+SUM(V21:V33)/D48</f>
        <v>#DIV/0!</v>
      </c>
      <c r="H51" s="39" t="e">
        <f>+G51/G49</f>
        <v>#DIV/0!</v>
      </c>
      <c r="I51" s="5"/>
      <c r="J51" s="5"/>
    </row>
    <row r="52" spans="2:10" ht="38" customHeight="1" x14ac:dyDescent="0.35">
      <c r="G52" s="38" t="s">
        <v>87</v>
      </c>
      <c r="H52" s="3" t="s">
        <v>23</v>
      </c>
    </row>
    <row r="53" spans="2:10" ht="20" customHeight="1" x14ac:dyDescent="0.35">
      <c r="F53" s="53" t="s">
        <v>65</v>
      </c>
      <c r="G53" s="59">
        <f t="shared" ref="G53:G58" si="12" xml:space="preserve"> SUMIF($G$21:$G$33, +F53,$V$21:$V$33)</f>
        <v>0</v>
      </c>
      <c r="H53" s="39">
        <f t="shared" ref="H53:H58" si="13">+G53/$G$49</f>
        <v>0</v>
      </c>
    </row>
    <row r="54" spans="2:10" ht="20" customHeight="1" x14ac:dyDescent="0.35">
      <c r="F54" s="53" t="s">
        <v>66</v>
      </c>
      <c r="G54" s="59">
        <f t="shared" si="12"/>
        <v>0</v>
      </c>
      <c r="H54" s="39">
        <f t="shared" si="13"/>
        <v>0</v>
      </c>
    </row>
    <row r="55" spans="2:10" ht="20" customHeight="1" x14ac:dyDescent="0.35">
      <c r="F55" s="53" t="s">
        <v>67</v>
      </c>
      <c r="G55" s="59">
        <f t="shared" si="12"/>
        <v>0</v>
      </c>
      <c r="H55" s="39">
        <f t="shared" si="13"/>
        <v>0</v>
      </c>
    </row>
    <row r="56" spans="2:10" ht="20" customHeight="1" x14ac:dyDescent="0.35">
      <c r="F56" s="53" t="s">
        <v>68</v>
      </c>
      <c r="G56" s="59">
        <f t="shared" si="12"/>
        <v>0</v>
      </c>
      <c r="H56" s="39">
        <f t="shared" si="13"/>
        <v>0</v>
      </c>
    </row>
    <row r="57" spans="2:10" ht="20" customHeight="1" x14ac:dyDescent="0.35">
      <c r="F57" s="53" t="s">
        <v>69</v>
      </c>
      <c r="G57" s="59">
        <f t="shared" si="12"/>
        <v>0</v>
      </c>
      <c r="H57" s="39">
        <f t="shared" si="13"/>
        <v>0</v>
      </c>
    </row>
    <row r="58" spans="2:10" ht="20" customHeight="1" x14ac:dyDescent="0.35">
      <c r="F58" s="53" t="s">
        <v>70</v>
      </c>
      <c r="G58" s="59">
        <f t="shared" si="12"/>
        <v>0</v>
      </c>
      <c r="H58" s="39">
        <f t="shared" si="13"/>
        <v>0</v>
      </c>
    </row>
    <row r="59" spans="2:10" ht="20" customHeight="1" x14ac:dyDescent="0.35">
      <c r="F59" s="53" t="s">
        <v>146</v>
      </c>
      <c r="G59" s="111">
        <f>+SUM(G53:G58)</f>
        <v>0</v>
      </c>
      <c r="H59" s="39" t="e">
        <f>+G59/($G$49*$D$48)</f>
        <v>#DIV/0!</v>
      </c>
    </row>
    <row r="60" spans="2:10" ht="15" thickBot="1" x14ac:dyDescent="0.4"/>
    <row r="61" spans="2:10" ht="30" customHeight="1" thickBot="1" x14ac:dyDescent="0.4">
      <c r="B61" s="69"/>
      <c r="C61" s="404" t="s">
        <v>107</v>
      </c>
      <c r="D61" s="404"/>
      <c r="E61" s="70"/>
      <c r="F61" s="70"/>
      <c r="G61" s="70"/>
      <c r="H61" s="70"/>
      <c r="I61" s="71"/>
      <c r="J61" s="72"/>
    </row>
    <row r="62" spans="2:10" ht="38" customHeight="1" x14ac:dyDescent="0.35">
      <c r="C62" s="53" t="s">
        <v>95</v>
      </c>
      <c r="D62" s="55">
        <f>SUMPRODUCT((LEFT(G21:G33, 5)="Scoop") / (COUNTIF(G21:G33, G21:G33 &amp; "") + (G21:G33="")))</f>
        <v>1</v>
      </c>
      <c r="E62" s="406" t="s">
        <v>90</v>
      </c>
      <c r="F62" s="406"/>
      <c r="G62" s="56">
        <v>0.20833333333333334</v>
      </c>
      <c r="I62" s="3"/>
      <c r="J62" s="5"/>
    </row>
    <row r="63" spans="2:10" ht="38" customHeight="1" x14ac:dyDescent="0.35">
      <c r="C63" s="53" t="s">
        <v>145</v>
      </c>
      <c r="D63" s="55">
        <v>4.9000000000000004</v>
      </c>
      <c r="E63" s="406" t="s">
        <v>97</v>
      </c>
      <c r="F63" s="406"/>
      <c r="G63" s="55">
        <f>15000/(60)</f>
        <v>250</v>
      </c>
      <c r="H63" s="60" t="s">
        <v>23</v>
      </c>
      <c r="I63" s="3"/>
      <c r="J63" s="5"/>
    </row>
    <row r="64" spans="2:10" ht="38" customHeight="1" x14ac:dyDescent="0.35">
      <c r="E64" s="405" t="s">
        <v>98</v>
      </c>
      <c r="F64" s="405"/>
      <c r="G64" s="57">
        <f>+SUM(SUMIF($G$21:$G$33, "Scoop*", $J$21:$J$33))/SUMPRODUCT((LEFT(G21:G33, 5)="Scoop") / (COUNTIF(G21:G33, G21:G33 &amp; "") + (G21:G33="")))</f>
        <v>0.11111111111111112</v>
      </c>
      <c r="H64" s="39">
        <f>+G64*24/($G$62*24)</f>
        <v>0.53333333333333344</v>
      </c>
      <c r="I64" s="5"/>
      <c r="J64" s="5"/>
    </row>
    <row r="65" spans="2:10" ht="38" customHeight="1" x14ac:dyDescent="0.35">
      <c r="E65" s="405" t="s">
        <v>99</v>
      </c>
      <c r="F65" s="405"/>
      <c r="G65" s="59">
        <f>+SUM(W21:W33)*D63/D62</f>
        <v>205.8</v>
      </c>
      <c r="H65" s="39">
        <f>+G65/G63</f>
        <v>0.82320000000000004</v>
      </c>
      <c r="I65" s="5"/>
      <c r="J65" s="5"/>
    </row>
    <row r="66" spans="2:10" ht="38" customHeight="1" x14ac:dyDescent="0.35">
      <c r="G66" s="38" t="s">
        <v>96</v>
      </c>
      <c r="H66" s="3" t="s">
        <v>23</v>
      </c>
    </row>
    <row r="67" spans="2:10" ht="20" customHeight="1" x14ac:dyDescent="0.35">
      <c r="F67" s="53" t="s">
        <v>71</v>
      </c>
      <c r="G67" s="59">
        <f t="shared" ref="G67:G72" si="14" xml:space="preserve"> SUMIF($G$21:$G$33, +F67,$W$21:$W$33)*$D$63</f>
        <v>0</v>
      </c>
      <c r="H67" s="39">
        <f>+G67/$G$63</f>
        <v>0</v>
      </c>
    </row>
    <row r="68" spans="2:10" ht="20" customHeight="1" x14ac:dyDescent="0.35">
      <c r="F68" s="53" t="s">
        <v>72</v>
      </c>
      <c r="G68" s="59">
        <f t="shared" si="14"/>
        <v>0</v>
      </c>
      <c r="H68" s="39">
        <f t="shared" ref="H68:H73" si="15">+G68/$G$63</f>
        <v>0</v>
      </c>
    </row>
    <row r="69" spans="2:10" ht="20" customHeight="1" x14ac:dyDescent="0.35">
      <c r="F69" s="53" t="s">
        <v>73</v>
      </c>
      <c r="G69" s="59">
        <f t="shared" si="14"/>
        <v>0</v>
      </c>
      <c r="H69" s="39">
        <f t="shared" si="15"/>
        <v>0</v>
      </c>
    </row>
    <row r="70" spans="2:10" ht="20" customHeight="1" x14ac:dyDescent="0.35">
      <c r="F70" s="53" t="s">
        <v>74</v>
      </c>
      <c r="G70" s="59">
        <f t="shared" si="14"/>
        <v>0</v>
      </c>
      <c r="H70" s="39">
        <f t="shared" si="15"/>
        <v>0</v>
      </c>
    </row>
    <row r="71" spans="2:10" ht="20" customHeight="1" x14ac:dyDescent="0.35">
      <c r="F71" s="53" t="s">
        <v>75</v>
      </c>
      <c r="G71" s="59">
        <f t="shared" si="14"/>
        <v>0</v>
      </c>
      <c r="H71" s="39">
        <f t="shared" si="15"/>
        <v>0</v>
      </c>
    </row>
    <row r="72" spans="2:10" ht="20" customHeight="1" x14ac:dyDescent="0.35">
      <c r="F72" s="53" t="s">
        <v>76</v>
      </c>
      <c r="G72" s="59">
        <f t="shared" si="14"/>
        <v>0</v>
      </c>
      <c r="H72" s="39">
        <f t="shared" si="15"/>
        <v>0</v>
      </c>
    </row>
    <row r="73" spans="2:10" ht="20" customHeight="1" x14ac:dyDescent="0.35">
      <c r="F73" s="53" t="s">
        <v>146</v>
      </c>
      <c r="G73" s="111">
        <f>+SUM(G67:G72)</f>
        <v>0</v>
      </c>
      <c r="H73" s="39">
        <f t="shared" si="15"/>
        <v>0</v>
      </c>
    </row>
    <row r="74" spans="2:10" ht="15" thickBot="1" x14ac:dyDescent="0.4"/>
    <row r="75" spans="2:10" ht="30" customHeight="1" thickBot="1" x14ac:dyDescent="0.4">
      <c r="B75" s="69"/>
      <c r="C75" s="404" t="s">
        <v>149</v>
      </c>
      <c r="D75" s="404"/>
      <c r="E75" s="70"/>
      <c r="F75" s="70"/>
      <c r="G75" s="70"/>
      <c r="H75" s="70"/>
      <c r="I75" s="71"/>
      <c r="J75" s="72"/>
    </row>
    <row r="76" spans="2:10" ht="25.25" customHeight="1" x14ac:dyDescent="0.35">
      <c r="C76" s="53" t="s">
        <v>150</v>
      </c>
      <c r="D76" s="55">
        <f>SUMPRODUCT((LEFT(G21:G33, 8)="Roboshot") / (COUNTIF(G21:G33, G21:G33 &amp; "") + (G21:G33="")))</f>
        <v>1</v>
      </c>
      <c r="E76" s="406" t="s">
        <v>90</v>
      </c>
      <c r="F76" s="406"/>
      <c r="G76" s="56">
        <v>0.20833333333333334</v>
      </c>
    </row>
    <row r="77" spans="2:10" x14ac:dyDescent="0.35">
      <c r="C77" s="53"/>
      <c r="D77" s="55"/>
      <c r="E77" s="406" t="s">
        <v>97</v>
      </c>
      <c r="F77" s="406"/>
      <c r="G77" s="55">
        <v>12</v>
      </c>
      <c r="H77" s="60" t="s">
        <v>23</v>
      </c>
    </row>
    <row r="79" spans="2:10" x14ac:dyDescent="0.35">
      <c r="G79" s="38" t="s">
        <v>96</v>
      </c>
      <c r="H79" s="3" t="s">
        <v>23</v>
      </c>
    </row>
    <row r="80" spans="2:10" x14ac:dyDescent="0.35">
      <c r="F80" s="53" t="s">
        <v>77</v>
      </c>
      <c r="G80" s="59">
        <f xml:space="preserve"> SUMIF($G$21:$G$33, +F80,$X$21:$X$33)</f>
        <v>0</v>
      </c>
      <c r="H80" s="39">
        <f>+G80/$G$77</f>
        <v>0</v>
      </c>
    </row>
    <row r="81" spans="6:8" x14ac:dyDescent="0.35">
      <c r="F81" s="53" t="s">
        <v>78</v>
      </c>
      <c r="G81" s="59">
        <f xml:space="preserve"> SUMIF($G$21:$G$33, +F81,$X$21:$X$33)</f>
        <v>0</v>
      </c>
      <c r="H81" s="39">
        <f t="shared" ref="H81:H82" si="16">+G81/$G$77</f>
        <v>0</v>
      </c>
    </row>
    <row r="82" spans="6:8" x14ac:dyDescent="0.35">
      <c r="F82" s="53" t="s">
        <v>79</v>
      </c>
      <c r="G82" s="59">
        <f xml:space="preserve"> SUMIF($G$21:$G$33, +F82,$X$21:$X$33)</f>
        <v>0</v>
      </c>
      <c r="H82" s="39">
        <f t="shared" si="16"/>
        <v>0</v>
      </c>
    </row>
    <row r="83" spans="6:8" x14ac:dyDescent="0.35">
      <c r="F83" s="53" t="s">
        <v>146</v>
      </c>
      <c r="G83" s="111">
        <f>+SUM(G80:G82)</f>
        <v>0</v>
      </c>
      <c r="H83" s="39">
        <f>+G83/$G$77</f>
        <v>0</v>
      </c>
    </row>
  </sheetData>
  <mergeCells count="35">
    <mergeCell ref="E77:F77"/>
    <mergeCell ref="C61:D61"/>
    <mergeCell ref="E62:F62"/>
    <mergeCell ref="E63:F63"/>
    <mergeCell ref="E64:F64"/>
    <mergeCell ref="E65:F65"/>
    <mergeCell ref="C75:D75"/>
    <mergeCell ref="C47:D47"/>
    <mergeCell ref="E48:F48"/>
    <mergeCell ref="E49:F49"/>
    <mergeCell ref="E50:F50"/>
    <mergeCell ref="E76:F76"/>
    <mergeCell ref="E51:F51"/>
    <mergeCell ref="E44:G44"/>
    <mergeCell ref="E45:G45"/>
    <mergeCell ref="C36:D36"/>
    <mergeCell ref="G36:H36"/>
    <mergeCell ref="I36:J36"/>
    <mergeCell ref="E37:F37"/>
    <mergeCell ref="E38:F38"/>
    <mergeCell ref="E39:F39"/>
    <mergeCell ref="E42:G42"/>
    <mergeCell ref="E43:G43"/>
    <mergeCell ref="K36:L36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38:H39 J38:J39">
    <cfRule type="cellIs" dxfId="1112" priority="13" operator="greaterThan">
      <formula>0.9</formula>
    </cfRule>
    <cfRule type="cellIs" dxfId="1111" priority="14" operator="between">
      <formula>0.81</formula>
      <formula>0.89</formula>
    </cfRule>
    <cfRule type="cellIs" dxfId="1110" priority="15" operator="lessThan">
      <formula>0.8</formula>
    </cfRule>
  </conditionalFormatting>
  <conditionalFormatting sqref="H50:H51">
    <cfRule type="cellIs" dxfId="1109" priority="16" operator="greaterThan">
      <formula>0.9</formula>
    </cfRule>
    <cfRule type="cellIs" dxfId="1108" priority="17" operator="between">
      <formula>0.81</formula>
      <formula>0.89</formula>
    </cfRule>
    <cfRule type="cellIs" dxfId="1107" priority="18" operator="lessThan">
      <formula>0.8</formula>
    </cfRule>
  </conditionalFormatting>
  <conditionalFormatting sqref="H53:H59">
    <cfRule type="cellIs" dxfId="1106" priority="19" operator="greaterThan">
      <formula>0.9</formula>
    </cfRule>
    <cfRule type="cellIs" dxfId="1105" priority="20" operator="between">
      <formula>0.81</formula>
      <formula>0.89</formula>
    </cfRule>
    <cfRule type="cellIs" dxfId="1104" priority="21" operator="lessThan">
      <formula>0.8</formula>
    </cfRule>
  </conditionalFormatting>
  <conditionalFormatting sqref="H64:H65">
    <cfRule type="cellIs" dxfId="1103" priority="7" operator="greaterThan">
      <formula>0.9</formula>
    </cfRule>
    <cfRule type="cellIs" dxfId="1102" priority="8" operator="between">
      <formula>0.81</formula>
      <formula>0.89</formula>
    </cfRule>
    <cfRule type="cellIs" dxfId="1101" priority="9" operator="lessThan">
      <formula>0.8</formula>
    </cfRule>
  </conditionalFormatting>
  <conditionalFormatting sqref="H67:H73">
    <cfRule type="cellIs" dxfId="1100" priority="10" operator="greaterThan">
      <formula>0.9</formula>
    </cfRule>
    <cfRule type="cellIs" dxfId="1099" priority="11" operator="between">
      <formula>0.81</formula>
      <formula>0.89</formula>
    </cfRule>
    <cfRule type="cellIs" dxfId="1098" priority="12" operator="lessThan">
      <formula>0.8</formula>
    </cfRule>
  </conditionalFormatting>
  <conditionalFormatting sqref="H80:H83">
    <cfRule type="cellIs" dxfId="1097" priority="4" operator="greaterThan">
      <formula>0.9</formula>
    </cfRule>
    <cfRule type="cellIs" dxfId="1096" priority="5" operator="between">
      <formula>0.81</formula>
      <formula>0.89</formula>
    </cfRule>
    <cfRule type="cellIs" dxfId="1095" priority="6" operator="lessThan">
      <formula>0.8</formula>
    </cfRule>
  </conditionalFormatting>
  <conditionalFormatting sqref="L38:L39">
    <cfRule type="cellIs" dxfId="1094" priority="1" operator="greaterThan">
      <formula>0.9</formula>
    </cfRule>
    <cfRule type="cellIs" dxfId="1093" priority="2" operator="between">
      <formula>0.81</formula>
      <formula>0.89</formula>
    </cfRule>
    <cfRule type="cellIs" dxfId="1092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18296BF-2B15-4933-9F92-B6AB02CD82DF}">
          <x14:formula1>
            <xm:f>Datos!$F$3:$F$41</xm:f>
          </x14:formula1>
          <xm:sqref>G29:G34 G21:G26</xm:sqref>
        </x14:dataValidation>
        <x14:dataValidation type="list" allowBlank="1" showInputMessage="1" showErrorMessage="1" xr:uid="{4970EC72-7438-43A6-AEFB-01DE4F42A6DF}">
          <x14:formula1>
            <xm:f>Datos!$W$3:$W$12</xm:f>
          </x14:formula1>
          <xm:sqref>L29:L34 L21:L26</xm:sqref>
        </x14:dataValidation>
        <x14:dataValidation type="list" allowBlank="1" showInputMessage="1" showErrorMessage="1" xr:uid="{F84A360E-4186-4EEF-81C2-FD065753DDE4}">
          <x14:formula1>
            <xm:f>Datos!$D$3:$D$27</xm:f>
          </x14:formula1>
          <xm:sqref>F21:F26 F29:F34</xm:sqref>
        </x14:dataValidation>
        <x14:dataValidation type="list" allowBlank="1" showInputMessage="1" showErrorMessage="1" xr:uid="{46BC4F4E-778D-450B-B5E9-E1DFA4D0B0DA}">
          <x14:formula1>
            <xm:f>Datos!$B$3:$B$8</xm:f>
          </x14:formula1>
          <xm:sqref>E21:E26 E29:E34</xm:sqref>
        </x14:dataValidation>
        <x14:dataValidation type="list" allowBlank="1" showInputMessage="1" showErrorMessage="1" xr:uid="{816B7B8B-536A-4E1A-96CB-439716F1EBAF}">
          <x14:formula1>
            <xm:f>Datos!$H$3:$H$52</xm:f>
          </x14:formula1>
          <xm:sqref>D31</xm:sqref>
        </x14:dataValidation>
        <x14:dataValidation type="list" allowBlank="1" showInputMessage="1" showErrorMessage="1" xr:uid="{D06EFF39-78F5-453C-854D-1E5271D7B0F3}">
          <x14:formula1>
            <xm:f>Datos!$H$3:$H$26</xm:f>
          </x14:formula1>
          <xm:sqref>D21:D26 D32:D34 D29:D30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AF41-975B-489F-A28A-51A530A49E15}">
  <sheetPr>
    <pageSetUpPr fitToPage="1"/>
  </sheetPr>
  <dimension ref="B1:X84"/>
  <sheetViews>
    <sheetView showGridLines="0" topLeftCell="A19" zoomScale="85" zoomScaleNormal="85" zoomScaleSheetLayoutView="50" workbookViewId="0">
      <pane xSplit="3" ySplit="2" topLeftCell="D33" activePane="bottomRight" state="frozen"/>
      <selection activeCell="A19" sqref="A19"/>
      <selection pane="topRight" activeCell="D19" sqref="D19"/>
      <selection pane="bottomLeft" activeCell="A21" sqref="A21"/>
      <selection pane="bottomRight" activeCell="M48" sqref="M48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8.36328125" style="134" bestFit="1" customWidth="1"/>
    <col min="10" max="10" width="17.6328125" style="134" bestFit="1" customWidth="1"/>
    <col min="11" max="11" width="18.453125" style="134" bestFit="1" customWidth="1"/>
    <col min="12" max="12" width="18.453125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+G38</f>
        <v>0.36111111111111116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+H39</f>
        <v>0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+G60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+G74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+G84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38" customHeight="1" x14ac:dyDescent="0.3">
      <c r="B21" s="172"/>
      <c r="C21" s="173" t="s">
        <v>249</v>
      </c>
      <c r="D21" s="173" t="s">
        <v>105</v>
      </c>
      <c r="E21" s="172" t="s">
        <v>6</v>
      </c>
      <c r="F21" s="172" t="s">
        <v>165</v>
      </c>
      <c r="G21" s="172" t="s">
        <v>204</v>
      </c>
      <c r="H21" s="174">
        <v>0.43055555555555558</v>
      </c>
      <c r="I21" s="174">
        <v>0.52777777777777779</v>
      </c>
      <c r="J21" s="175">
        <f t="shared" ref="J21:J24" si="0">MOD(I21-H21, 1)</f>
        <v>9.722222222222221E-2</v>
      </c>
      <c r="K21" s="176">
        <v>21</v>
      </c>
      <c r="L21" s="177" t="s">
        <v>128</v>
      </c>
      <c r="M21" s="178" t="s">
        <v>162</v>
      </c>
      <c r="N21" s="179">
        <v>0</v>
      </c>
      <c r="O21" s="180" t="s">
        <v>245</v>
      </c>
      <c r="P21" s="181"/>
      <c r="Q21" s="174"/>
      <c r="R21" s="174"/>
      <c r="S21" s="175">
        <f>+MOD(R21-Q21,1)</f>
        <v>0</v>
      </c>
      <c r="U21" s="182" t="str">
        <f>+IFERROR(VLOOKUP(D21,Datos!$R$3:$T$19,3,FALSE), "0")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/>
      <c r="C22" s="173" t="str">
        <f>+C21</f>
        <v>Frotòn Drenaje</v>
      </c>
      <c r="D22" s="173" t="s">
        <v>173</v>
      </c>
      <c r="E22" s="172" t="s">
        <v>6</v>
      </c>
      <c r="F22" s="172" t="s">
        <v>165</v>
      </c>
      <c r="G22" s="172" t="s">
        <v>213</v>
      </c>
      <c r="H22" s="174">
        <v>0.5625</v>
      </c>
      <c r="I22" s="174">
        <v>0.58333333333333337</v>
      </c>
      <c r="J22" s="175">
        <f t="shared" si="0"/>
        <v>2.083333333333337E-2</v>
      </c>
      <c r="K22" s="178">
        <v>0</v>
      </c>
      <c r="L22" s="177"/>
      <c r="M22" s="178">
        <v>0</v>
      </c>
      <c r="N22" s="179">
        <v>0</v>
      </c>
      <c r="O22" s="180" t="s">
        <v>246</v>
      </c>
      <c r="P22" s="181"/>
      <c r="Q22" s="174"/>
      <c r="R22" s="172"/>
      <c r="S22" s="175">
        <f t="shared" ref="S22:S26" si="1">+MOD(R22-Q22,1)</f>
        <v>0</v>
      </c>
      <c r="U22" s="182">
        <f>+IFERROR(VLOOKUP(D22,Datos!$R$3:$T$19,3,FALSE), "0")</f>
        <v>3.4227039361095259E-2</v>
      </c>
      <c r="V22" s="183" t="str">
        <f t="shared" ref="V22:V26" si="2">IF(OR(D22="Perforación de Fortificación", D22="Perforación de Avance", D22="Perforación Desquinche"), K22*M22, "")</f>
        <v/>
      </c>
      <c r="W22" s="183" t="str">
        <f t="shared" ref="W22:W26" si="3">IF(D22="Extracción de Marina Disparo",K22,"")</f>
        <v/>
      </c>
      <c r="X22" s="183" t="str">
        <f t="shared" ref="X22:X26" si="4">IF(OR(D22="Shotcrete", D22="Pre Shotcrete"), K22, "")</f>
        <v/>
      </c>
    </row>
    <row r="23" spans="2:24" ht="38" customHeight="1" x14ac:dyDescent="0.3">
      <c r="B23" s="172"/>
      <c r="C23" s="173" t="str">
        <f t="shared" ref="C23:C24" si="5">+C22</f>
        <v>Frotòn Drenaje</v>
      </c>
      <c r="D23" s="173" t="s">
        <v>51</v>
      </c>
      <c r="E23" s="172" t="s">
        <v>6</v>
      </c>
      <c r="F23" s="172" t="s">
        <v>165</v>
      </c>
      <c r="G23" s="172" t="s">
        <v>212</v>
      </c>
      <c r="H23" s="174">
        <v>0.6875</v>
      </c>
      <c r="I23" s="174">
        <v>0.70833333333333337</v>
      </c>
      <c r="J23" s="175">
        <f t="shared" si="0"/>
        <v>2.083333333333337E-2</v>
      </c>
      <c r="K23" s="178"/>
      <c r="L23" s="177"/>
      <c r="M23" s="178"/>
      <c r="N23" s="179">
        <v>0</v>
      </c>
      <c r="O23" s="180" t="s">
        <v>248</v>
      </c>
      <c r="P23" s="181" t="s">
        <v>247</v>
      </c>
      <c r="Q23" s="174">
        <v>0.58333333333333337</v>
      </c>
      <c r="R23" s="174">
        <v>0.66666666666666663</v>
      </c>
      <c r="S23" s="175">
        <f t="shared" si="1"/>
        <v>8.3333333333333259E-2</v>
      </c>
      <c r="U23" s="182">
        <f>+IFERROR(VLOOKUP(D23,Datos!$R$3:$T$19,3,FALSE), "0")</f>
        <v>3.4227039361095259E-2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/>
      <c r="C24" s="173" t="str">
        <f t="shared" si="5"/>
        <v>Frotòn Drenaje</v>
      </c>
      <c r="D24" s="173" t="s">
        <v>63</v>
      </c>
      <c r="E24" s="172" t="s">
        <v>6</v>
      </c>
      <c r="F24" s="172" t="s">
        <v>165</v>
      </c>
      <c r="G24" s="172" t="s">
        <v>203</v>
      </c>
      <c r="H24" s="174">
        <v>0.70833333333333337</v>
      </c>
      <c r="I24" s="174">
        <v>0.75</v>
      </c>
      <c r="J24" s="175">
        <f t="shared" si="0"/>
        <v>4.166666666666663E-2</v>
      </c>
      <c r="K24" s="178">
        <v>18</v>
      </c>
      <c r="L24" s="177" t="s">
        <v>138</v>
      </c>
      <c r="M24" s="178">
        <v>3.8</v>
      </c>
      <c r="N24" s="179">
        <v>0</v>
      </c>
      <c r="O24" s="180" t="s">
        <v>250</v>
      </c>
      <c r="P24" s="181"/>
      <c r="Q24" s="172"/>
      <c r="R24" s="172"/>
      <c r="S24" s="175">
        <f t="shared" si="1"/>
        <v>0</v>
      </c>
      <c r="U24" s="182">
        <f>+IFERROR(VLOOKUP(D24,Datos!$R$3:$T$19,3,FALSE), "0")</f>
        <v>0.13519680547632629</v>
      </c>
      <c r="V24" s="183">
        <f t="shared" si="2"/>
        <v>68.399999999999991</v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180"/>
      <c r="P25" s="181"/>
      <c r="Q25" s="172"/>
      <c r="R25" s="172"/>
      <c r="S25" s="175">
        <f t="shared" si="1"/>
        <v>0</v>
      </c>
      <c r="U25" s="182" t="str">
        <f>+IFERROR(VLOOKUP(D25,Datos!$R$3:$T$19,3,FALSE), "0")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>
        <f>SUM(J21:J25)</f>
        <v>0.18055555555555558</v>
      </c>
      <c r="K26" s="178"/>
      <c r="L26" s="177"/>
      <c r="M26" s="178"/>
      <c r="N26" s="179"/>
      <c r="O26" s="180"/>
      <c r="P26" s="172"/>
      <c r="Q26" s="172"/>
      <c r="R26" s="172"/>
      <c r="S26" s="175">
        <f t="shared" si="1"/>
        <v>0</v>
      </c>
      <c r="U26" s="184"/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/>
      <c r="C29" s="173" t="str">
        <f>+Datos!R23</f>
        <v>Ciclo Minero 5,2 x 5,6 m
Galería Acceso Portal de Servicio</v>
      </c>
      <c r="D29" s="173" t="s">
        <v>59</v>
      </c>
      <c r="E29" s="172" t="s">
        <v>6</v>
      </c>
      <c r="F29" s="172" t="s">
        <v>166</v>
      </c>
      <c r="G29" s="172" t="s">
        <v>213</v>
      </c>
      <c r="H29" s="174">
        <v>0.39583333333333331</v>
      </c>
      <c r="I29" s="174">
        <v>0.47916666666666669</v>
      </c>
      <c r="J29" s="175">
        <f t="shared" ref="J29:J33" si="6">MOD(I29-H29, 1)</f>
        <v>8.333333333333337E-2</v>
      </c>
      <c r="K29" s="178">
        <v>25</v>
      </c>
      <c r="L29" s="177" t="s">
        <v>128</v>
      </c>
      <c r="M29" s="178">
        <v>0</v>
      </c>
      <c r="N29" s="179">
        <v>1</v>
      </c>
      <c r="O29" s="186" t="s">
        <v>243</v>
      </c>
      <c r="P29" s="181" t="s">
        <v>241</v>
      </c>
      <c r="Q29" s="174"/>
      <c r="R29" s="174"/>
      <c r="S29" s="175">
        <f>+MOD(R29-Q29,1)</f>
        <v>0</v>
      </c>
      <c r="U29" s="187">
        <f>+IFERROR(VLOOKUP(D29,Datos!$R$24:$T$40,3,FALSE), "0")</f>
        <v>9.7751710654936444E-3</v>
      </c>
      <c r="V29" s="183" t="str">
        <f t="shared" ref="V29:V34" si="7">IF(OR(D29="Perforación de Fortificación", D29="Perforación de Avance", D29="Perforación Desquinche"), K29*M29, "")</f>
        <v/>
      </c>
      <c r="W29" s="183" t="str">
        <f>IF(D29="Extracción de Marina Disparo",K29,"")</f>
        <v/>
      </c>
      <c r="X29" s="183" t="str">
        <f t="shared" ref="X29:X34" si="8">IF(OR(D29="Shotcrete", D29="Pre Shotcrete"), K29, "")</f>
        <v/>
      </c>
    </row>
    <row r="30" spans="2:24" ht="38" customHeight="1" x14ac:dyDescent="0.3">
      <c r="B30" s="172"/>
      <c r="C30" s="173" t="str">
        <f>+C29</f>
        <v>Ciclo Minero 5,2 x 5,6 m
Galería Acceso Portal de Servicio</v>
      </c>
      <c r="D30" s="173" t="s">
        <v>173</v>
      </c>
      <c r="E30" s="172" t="s">
        <v>6</v>
      </c>
      <c r="F30" s="172" t="s">
        <v>166</v>
      </c>
      <c r="G30" s="172" t="s">
        <v>213</v>
      </c>
      <c r="H30" s="174">
        <v>0.5</v>
      </c>
      <c r="I30" s="174">
        <v>0.54166666666666663</v>
      </c>
      <c r="J30" s="175">
        <f t="shared" si="6"/>
        <v>4.166666666666663E-2</v>
      </c>
      <c r="K30" s="178">
        <v>27</v>
      </c>
      <c r="L30" s="177" t="s">
        <v>125</v>
      </c>
      <c r="M30" s="178">
        <v>0</v>
      </c>
      <c r="N30" s="179">
        <v>1</v>
      </c>
      <c r="O30" s="188" t="s">
        <v>242</v>
      </c>
      <c r="P30" s="172"/>
      <c r="Q30" s="172"/>
      <c r="R30" s="172"/>
      <c r="S30" s="175">
        <f t="shared" ref="S30:S34" si="9">+MOD(R30-Q30,1)</f>
        <v>0</v>
      </c>
      <c r="U30" s="187">
        <f>+IFERROR(VLOOKUP(D30,Datos!$R$24:$T$40,3,FALSE), "0")</f>
        <v>4.1055718475073312E-2</v>
      </c>
      <c r="V30" s="183" t="str">
        <f t="shared" si="7"/>
        <v/>
      </c>
      <c r="W30" s="183" t="str">
        <f t="shared" ref="W30:W34" si="10">IF(D30="Extracción de Marina Disparo",K30,"")</f>
        <v/>
      </c>
      <c r="X30" s="183" t="str">
        <f t="shared" si="8"/>
        <v/>
      </c>
    </row>
    <row r="31" spans="2:24" ht="38" customHeight="1" x14ac:dyDescent="0.3">
      <c r="B31" s="172"/>
      <c r="C31" s="173" t="str">
        <f t="shared" ref="C31:C34" si="11">+C30</f>
        <v>Ciclo Minero 5,2 x 5,6 m
Galería Acceso Portal de Servicio</v>
      </c>
      <c r="D31" s="173" t="s">
        <v>57</v>
      </c>
      <c r="E31" s="172" t="s">
        <v>6</v>
      </c>
      <c r="F31" s="172" t="s">
        <v>166</v>
      </c>
      <c r="G31" s="172" t="s">
        <v>202</v>
      </c>
      <c r="H31" s="174">
        <v>0.55555555555555558</v>
      </c>
      <c r="I31" s="174">
        <v>0.65625</v>
      </c>
      <c r="J31" s="175">
        <f t="shared" si="6"/>
        <v>0.10069444444444442</v>
      </c>
      <c r="K31" s="178">
        <v>27</v>
      </c>
      <c r="L31" s="177" t="s">
        <v>125</v>
      </c>
      <c r="M31" s="178">
        <v>3</v>
      </c>
      <c r="N31" s="179">
        <v>1</v>
      </c>
      <c r="O31" s="188"/>
      <c r="P31" s="181" t="s">
        <v>244</v>
      </c>
      <c r="Q31" s="174">
        <v>0.57638888888888884</v>
      </c>
      <c r="R31" s="174">
        <v>0.59722222222222221</v>
      </c>
      <c r="S31" s="175">
        <f t="shared" si="9"/>
        <v>2.083333333333337E-2</v>
      </c>
      <c r="U31" s="187">
        <f>+IFERROR(VLOOKUP(D31,Datos!$R$24:$T$40,3,FALSE), "0")</f>
        <v>7.42913000977517E-2</v>
      </c>
      <c r="V31" s="183">
        <f t="shared" si="7"/>
        <v>81</v>
      </c>
      <c r="W31" s="183" t="str">
        <f t="shared" si="10"/>
        <v/>
      </c>
      <c r="X31" s="183" t="str">
        <f t="shared" si="8"/>
        <v/>
      </c>
    </row>
    <row r="32" spans="2:24" ht="38" customHeight="1" x14ac:dyDescent="0.3">
      <c r="B32" s="172"/>
      <c r="C32" s="173" t="str">
        <f t="shared" si="11"/>
        <v>Ciclo Minero 5,2 x 5,6 m
Galería Acceso Portal de Servicio</v>
      </c>
      <c r="D32" s="173" t="s">
        <v>54</v>
      </c>
      <c r="E32" s="172" t="s">
        <v>6</v>
      </c>
      <c r="F32" s="172" t="s">
        <v>166</v>
      </c>
      <c r="G32" s="172" t="s">
        <v>211</v>
      </c>
      <c r="H32" s="174">
        <v>0.66666666666666663</v>
      </c>
      <c r="I32" s="174">
        <v>0.75</v>
      </c>
      <c r="J32" s="175">
        <f t="shared" si="6"/>
        <v>8.333333333333337E-2</v>
      </c>
      <c r="K32" s="178">
        <v>27</v>
      </c>
      <c r="L32" s="177" t="s">
        <v>125</v>
      </c>
      <c r="M32" s="178">
        <v>3</v>
      </c>
      <c r="N32" s="179">
        <v>1</v>
      </c>
      <c r="O32" s="188"/>
      <c r="P32" s="173"/>
      <c r="Q32" s="172"/>
      <c r="R32" s="172"/>
      <c r="S32" s="175">
        <f t="shared" si="9"/>
        <v>0</v>
      </c>
      <c r="U32" s="187">
        <f>+IFERROR(VLOOKUP(D32,Datos!$R$24:$T$40,3,FALSE), "0")</f>
        <v>0.14662756598240467</v>
      </c>
      <c r="V32" s="183" t="str">
        <f t="shared" si="7"/>
        <v/>
      </c>
      <c r="W32" s="183" t="str">
        <f t="shared" si="10"/>
        <v/>
      </c>
      <c r="X32" s="183" t="str">
        <f t="shared" si="8"/>
        <v/>
      </c>
    </row>
    <row r="33" spans="2:24" ht="38" customHeight="1" x14ac:dyDescent="0.3">
      <c r="B33" s="172"/>
      <c r="C33" s="173" t="str">
        <f t="shared" si="11"/>
        <v>Ciclo Minero 5,2 x 5,6 m
Galería Acceso Portal de Servicio</v>
      </c>
      <c r="D33" s="173"/>
      <c r="E33" s="172"/>
      <c r="F33" s="172"/>
      <c r="G33" s="172"/>
      <c r="H33" s="174"/>
      <c r="I33" s="174"/>
      <c r="J33" s="175">
        <f t="shared" si="6"/>
        <v>0</v>
      </c>
      <c r="K33" s="178"/>
      <c r="L33" s="177"/>
      <c r="M33" s="178"/>
      <c r="N33" s="179"/>
      <c r="O33" s="188" t="s">
        <v>235</v>
      </c>
      <c r="P33" s="172"/>
      <c r="Q33" s="172"/>
      <c r="R33" s="172"/>
      <c r="S33" s="175">
        <f t="shared" si="9"/>
        <v>0</v>
      </c>
      <c r="U33" s="189">
        <f>+Datos!T27+Datos!T29+Datos!T31+Datos!T33</f>
        <v>0.14662756598240467</v>
      </c>
      <c r="V33" s="183" t="str">
        <f t="shared" si="7"/>
        <v/>
      </c>
      <c r="W33" s="183" t="str">
        <f t="shared" si="10"/>
        <v/>
      </c>
      <c r="X33" s="183" t="str">
        <f t="shared" si="8"/>
        <v/>
      </c>
    </row>
    <row r="34" spans="2:24" ht="38" customHeight="1" x14ac:dyDescent="0.3">
      <c r="B34" s="172"/>
      <c r="C34" s="173" t="str">
        <f t="shared" si="11"/>
        <v>Ciclo Minero 5,2 x 5,6 m
Galería Acceso Portal de Servicio</v>
      </c>
      <c r="D34" s="173"/>
      <c r="E34" s="172"/>
      <c r="F34" s="172"/>
      <c r="G34" s="172"/>
      <c r="H34" s="174"/>
      <c r="I34" s="172"/>
      <c r="J34" s="175">
        <f>SUM(J29:J33)</f>
        <v>0.30902777777777779</v>
      </c>
      <c r="K34" s="178"/>
      <c r="L34" s="177"/>
      <c r="M34" s="178"/>
      <c r="N34" s="179"/>
      <c r="O34" s="179"/>
      <c r="P34" s="172"/>
      <c r="Q34" s="172"/>
      <c r="R34" s="172"/>
      <c r="S34" s="175">
        <f t="shared" si="9"/>
        <v>0</v>
      </c>
      <c r="U34" s="184"/>
      <c r="V34" s="183" t="str">
        <f t="shared" si="7"/>
        <v/>
      </c>
      <c r="W34" s="183" t="str">
        <f t="shared" si="10"/>
        <v/>
      </c>
      <c r="X34" s="183" t="str">
        <f t="shared" si="8"/>
        <v/>
      </c>
    </row>
    <row r="35" spans="2:24" ht="15.65" customHeight="1" thickBot="1" x14ac:dyDescent="0.35">
      <c r="B35" s="190"/>
      <c r="C35" s="190"/>
      <c r="D35" s="190"/>
      <c r="E35" s="190"/>
      <c r="F35" s="190"/>
      <c r="G35" s="190"/>
      <c r="H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</row>
    <row r="36" spans="2:24" ht="30" customHeight="1" thickBot="1" x14ac:dyDescent="0.35">
      <c r="B36" s="191"/>
      <c r="C36" s="446" t="s">
        <v>64</v>
      </c>
      <c r="D36" s="446"/>
      <c r="E36" s="192"/>
      <c r="F36" s="192"/>
      <c r="G36" s="431">
        <v>3500</v>
      </c>
      <c r="H36" s="432"/>
      <c r="I36" s="431">
        <v>3700</v>
      </c>
      <c r="J36" s="432"/>
      <c r="K36" s="433" t="s">
        <v>146</v>
      </c>
      <c r="L36" s="434"/>
      <c r="M36" s="190"/>
      <c r="N36" s="190"/>
      <c r="O36" s="190"/>
      <c r="P36" s="190"/>
      <c r="Q36" s="190"/>
      <c r="R36" s="190"/>
      <c r="S36" s="190"/>
    </row>
    <row r="37" spans="2:24" ht="30" customHeight="1" x14ac:dyDescent="0.3">
      <c r="C37" s="194" t="s">
        <v>48</v>
      </c>
      <c r="D37" s="195">
        <f>SUMPRODUCT((LEFT(F21:F33, 1)="C") / (COUNTIF(F21:F33, F21:F33 &amp; "") + (F21:F33="")))</f>
        <v>0</v>
      </c>
      <c r="E37" s="447" t="s">
        <v>90</v>
      </c>
      <c r="F37" s="447"/>
      <c r="G37" s="196">
        <v>0.26041666666666669</v>
      </c>
      <c r="H37" s="197" t="s">
        <v>23</v>
      </c>
      <c r="I37" s="196">
        <v>0.26041666666666669</v>
      </c>
      <c r="J37" s="197" t="s">
        <v>23</v>
      </c>
      <c r="K37" s="198">
        <f>+G37</f>
        <v>0.26041666666666669</v>
      </c>
      <c r="L37" s="197" t="s">
        <v>23</v>
      </c>
      <c r="M37" s="190"/>
      <c r="N37" s="190"/>
      <c r="O37" s="190"/>
      <c r="P37" s="190"/>
      <c r="Q37" s="190"/>
      <c r="R37" s="190"/>
      <c r="S37" s="190"/>
    </row>
    <row r="38" spans="2:24" x14ac:dyDescent="0.3">
      <c r="C38" s="194" t="s">
        <v>49</v>
      </c>
      <c r="D38" s="195">
        <f>SUMPRODUCT((LEFT(F21:F33, 1)="O") / (COUNTIF(F21:F33, F21:F33 &amp; "") + (F21:F33="")))</f>
        <v>0</v>
      </c>
      <c r="E38" s="448" t="s">
        <v>198</v>
      </c>
      <c r="F38" s="448"/>
      <c r="G38" s="199">
        <f>SUM(J21:J26)</f>
        <v>0.36111111111111116</v>
      </c>
      <c r="H38" s="200">
        <f>+G38*24/($G$37*24)</f>
        <v>1.3866666666666669</v>
      </c>
      <c r="I38" s="199">
        <f>SUM(J29:J33)</f>
        <v>0.30902777777777779</v>
      </c>
      <c r="J38" s="200">
        <f>+I38*24/($I$37*24)</f>
        <v>1.1866666666666668</v>
      </c>
      <c r="K38" s="201">
        <f>AVERAGE(G38+I38)/2</f>
        <v>0.33506944444444448</v>
      </c>
      <c r="L38" s="200">
        <f>+K38*24/($K$37*24)</f>
        <v>1.2866666666666668</v>
      </c>
      <c r="M38" s="190"/>
      <c r="N38" s="190"/>
      <c r="O38" s="190"/>
      <c r="P38" s="190"/>
      <c r="Q38" s="190"/>
      <c r="R38" s="190"/>
      <c r="S38" s="190"/>
    </row>
    <row r="39" spans="2:24" ht="43.25" customHeight="1" thickBot="1" x14ac:dyDescent="0.35">
      <c r="E39" s="448" t="s">
        <v>94</v>
      </c>
      <c r="F39" s="448"/>
      <c r="G39" s="202"/>
      <c r="H39" s="203">
        <f>+AVERAGE(N21:N26)</f>
        <v>0</v>
      </c>
      <c r="I39" s="202"/>
      <c r="J39" s="203">
        <f>+AVERAGE(N29:N33)</f>
        <v>1</v>
      </c>
      <c r="K39" s="204"/>
      <c r="L39" s="203">
        <f>+AVERAGE(N21:N33)</f>
        <v>0.5</v>
      </c>
    </row>
    <row r="40" spans="2:24" ht="43.25" customHeight="1" x14ac:dyDescent="0.3">
      <c r="E40" s="205"/>
      <c r="F40" s="205"/>
      <c r="G40" s="206"/>
      <c r="H40" s="206"/>
      <c r="I40" s="137"/>
      <c r="J40" s="137"/>
      <c r="K40" s="137"/>
      <c r="L40" s="137"/>
    </row>
    <row r="41" spans="2:24" ht="43.25" customHeight="1" x14ac:dyDescent="0.3">
      <c r="E41" s="194"/>
      <c r="F41" s="194"/>
      <c r="G41" s="207"/>
      <c r="H41" s="208" t="s">
        <v>24</v>
      </c>
      <c r="I41" s="208" t="s">
        <v>199</v>
      </c>
      <c r="J41" s="208" t="s">
        <v>201</v>
      </c>
      <c r="K41" s="208" t="s">
        <v>200</v>
      </c>
      <c r="L41" s="345" t="s">
        <v>484</v>
      </c>
      <c r="M41" s="345" t="s">
        <v>485</v>
      </c>
      <c r="N41" s="208"/>
    </row>
    <row r="42" spans="2:24" ht="14.5" x14ac:dyDescent="0.35">
      <c r="E42" s="445" t="s">
        <v>174</v>
      </c>
      <c r="F42" s="445"/>
      <c r="G42" s="445"/>
      <c r="H42" s="209">
        <f>SUMPRODUCT(N29:N33 * U29:U33 * (N29:N33&lt;&gt;"") * (U29:U33&lt;&gt;""))</f>
        <v>0.27174975562072334</v>
      </c>
      <c r="I42" s="210">
        <f>+H42*$J$42*$K$42</f>
        <v>6.1339354838709665</v>
      </c>
      <c r="J42" s="211">
        <v>6.6</v>
      </c>
      <c r="K42" s="212">
        <v>3.42</v>
      </c>
      <c r="L42" s="344">
        <v>56.080975609756102</v>
      </c>
      <c r="M42" s="344">
        <f>+L42*K42*H42</f>
        <v>52.120770645876547</v>
      </c>
    </row>
    <row r="43" spans="2:24" ht="14.4" customHeight="1" x14ac:dyDescent="0.35">
      <c r="E43" s="445" t="s">
        <v>175</v>
      </c>
      <c r="F43" s="445"/>
      <c r="G43" s="445"/>
      <c r="H43" s="209">
        <f>+SUMPRODUCT(N21:N26 * U21:U26 * (N21:N26&lt;&gt;"") * (U21:U26&lt;&gt;""))</f>
        <v>0</v>
      </c>
      <c r="I43" s="210">
        <f>+H43*$J$43*$K$43</f>
        <v>0</v>
      </c>
      <c r="J43" s="211">
        <v>11.8</v>
      </c>
      <c r="K43" s="212">
        <v>3.42</v>
      </c>
      <c r="L43" s="344">
        <v>118.52055555555555</v>
      </c>
      <c r="M43" s="344">
        <f>+L43*K43*H43</f>
        <v>0</v>
      </c>
    </row>
    <row r="44" spans="2:24" ht="14.4" customHeight="1" x14ac:dyDescent="0.35">
      <c r="E44" s="445" t="s">
        <v>224</v>
      </c>
      <c r="F44" s="445"/>
      <c r="G44" s="445"/>
      <c r="H44" s="209"/>
      <c r="I44" s="210">
        <f>+J44*K44</f>
        <v>0</v>
      </c>
      <c r="J44" s="214">
        <f>1892/1000000</f>
        <v>1.892E-3</v>
      </c>
      <c r="K44" s="215">
        <f>+((15*4.4)*2.72)*K31*0</f>
        <v>0</v>
      </c>
      <c r="L44" s="346">
        <v>1.6919982016368774E-2</v>
      </c>
      <c r="M44" s="344">
        <f>+L44*K44</f>
        <v>0</v>
      </c>
    </row>
    <row r="45" spans="2:24" ht="14.4" customHeight="1" x14ac:dyDescent="0.35">
      <c r="E45" s="445" t="s">
        <v>225</v>
      </c>
      <c r="F45" s="445"/>
      <c r="G45" s="445"/>
      <c r="H45" s="209"/>
      <c r="I45" s="210">
        <f>+J45*K45</f>
        <v>3.0259891200000002</v>
      </c>
      <c r="J45" s="214">
        <f>+J44</f>
        <v>1.892E-3</v>
      </c>
      <c r="K45" s="215">
        <f>+((15*2.8)*2.72)*14</f>
        <v>1599.3600000000001</v>
      </c>
      <c r="L45" s="346">
        <v>1.6909997294111807E-2</v>
      </c>
      <c r="M45" s="344">
        <f>+L45*K45</f>
        <v>27.045173272310663</v>
      </c>
    </row>
    <row r="46" spans="2:24" ht="14.4" customHeight="1" x14ac:dyDescent="0.35">
      <c r="E46" s="445" t="s">
        <v>236</v>
      </c>
      <c r="F46" s="445"/>
      <c r="G46" s="445"/>
      <c r="H46" s="209"/>
      <c r="I46" s="210">
        <f>+J46*K46</f>
        <v>0</v>
      </c>
      <c r="J46" s="214">
        <f>25508/1000000</f>
        <v>2.5507999999999999E-2</v>
      </c>
      <c r="K46" s="215">
        <f>14.43*0</f>
        <v>0</v>
      </c>
      <c r="L46" s="347" t="s">
        <v>486</v>
      </c>
      <c r="M46" s="349"/>
    </row>
    <row r="47" spans="2:24" ht="13.5" thickBot="1" x14ac:dyDescent="0.35">
      <c r="M47" s="352">
        <f>SUM(M42:M46)</f>
        <v>79.16594391818721</v>
      </c>
    </row>
    <row r="48" spans="2:24" ht="30" customHeight="1" thickBot="1" x14ac:dyDescent="0.35">
      <c r="B48" s="191"/>
      <c r="C48" s="446" t="s">
        <v>88</v>
      </c>
      <c r="D48" s="446"/>
      <c r="E48" s="192"/>
      <c r="F48" s="192"/>
      <c r="G48" s="192"/>
      <c r="H48" s="192"/>
      <c r="I48" s="216"/>
      <c r="J48" s="193"/>
    </row>
    <row r="49" spans="2:10" ht="38" customHeight="1" x14ac:dyDescent="0.3">
      <c r="C49" s="217" t="s">
        <v>89</v>
      </c>
      <c r="D49" s="195">
        <f>SUMPRODUCT((LEFT(G21:G33, 5)="Jumbo") / (COUNTIF(G21:G33, G21:G33 &amp; "") + (G21:G33="")))</f>
        <v>2</v>
      </c>
      <c r="E49" s="447" t="s">
        <v>90</v>
      </c>
      <c r="F49" s="447"/>
      <c r="G49" s="218">
        <v>0.20833333333333334</v>
      </c>
      <c r="I49" s="139"/>
      <c r="J49" s="190"/>
    </row>
    <row r="50" spans="2:10" ht="38" customHeight="1" x14ac:dyDescent="0.3">
      <c r="E50" s="447" t="s">
        <v>93</v>
      </c>
      <c r="F50" s="447"/>
      <c r="G50" s="195">
        <f>15000/(60)</f>
        <v>250</v>
      </c>
      <c r="H50" s="219" t="s">
        <v>143</v>
      </c>
      <c r="I50" s="139"/>
      <c r="J50" s="190"/>
    </row>
    <row r="51" spans="2:10" ht="38" customHeight="1" x14ac:dyDescent="0.3">
      <c r="E51" s="448" t="s">
        <v>91</v>
      </c>
      <c r="F51" s="448"/>
      <c r="G51" s="207">
        <f>+SUM(SUMIF($G$21:$G$33, "Jumbo*", $J$21:$J$33))/SUMPRODUCT((LEFT(G21:G33, 5)="Jumbo") / (COUNTIF(G21:G33, G21:G33 &amp; "") + (G21:G33="")))</f>
        <v>7.1180555555555525E-2</v>
      </c>
      <c r="H51" s="220">
        <f>+G51*24/($G$49*24)</f>
        <v>0.34166666666666651</v>
      </c>
      <c r="I51" s="190"/>
      <c r="J51" s="190"/>
    </row>
    <row r="52" spans="2:10" ht="38" customHeight="1" x14ac:dyDescent="0.3">
      <c r="E52" s="448" t="s">
        <v>92</v>
      </c>
      <c r="F52" s="448"/>
      <c r="G52" s="221">
        <f>+SUM(V21:V33)/D49</f>
        <v>74.699999999999989</v>
      </c>
      <c r="H52" s="220">
        <f>+G52/G50</f>
        <v>0.29879999999999995</v>
      </c>
      <c r="I52" s="190"/>
      <c r="J52" s="190"/>
    </row>
    <row r="53" spans="2:10" ht="38" customHeight="1" x14ac:dyDescent="0.3">
      <c r="G53" s="222" t="s">
        <v>87</v>
      </c>
      <c r="H53" s="139" t="s">
        <v>23</v>
      </c>
    </row>
    <row r="54" spans="2:10" ht="20" customHeight="1" x14ac:dyDescent="0.3">
      <c r="F54" s="208" t="s">
        <v>65</v>
      </c>
      <c r="G54" s="221">
        <f t="shared" ref="G54:G59" si="12" xml:space="preserve"> SUMIF($G$21:$G$33, +F54,$V$21:$V$33)</f>
        <v>0</v>
      </c>
      <c r="H54" s="220">
        <f t="shared" ref="H54:H59" si="13">+G54/$G$50</f>
        <v>0</v>
      </c>
    </row>
    <row r="55" spans="2:10" ht="20" customHeight="1" x14ac:dyDescent="0.3">
      <c r="F55" s="208" t="s">
        <v>66</v>
      </c>
      <c r="G55" s="221">
        <f t="shared" si="12"/>
        <v>0</v>
      </c>
      <c r="H55" s="220">
        <f t="shared" si="13"/>
        <v>0</v>
      </c>
    </row>
    <row r="56" spans="2:10" ht="20" customHeight="1" x14ac:dyDescent="0.3">
      <c r="F56" s="208" t="s">
        <v>67</v>
      </c>
      <c r="G56" s="221">
        <f t="shared" si="12"/>
        <v>0</v>
      </c>
      <c r="H56" s="220">
        <f t="shared" si="13"/>
        <v>0</v>
      </c>
    </row>
    <row r="57" spans="2:10" ht="20" customHeight="1" x14ac:dyDescent="0.3">
      <c r="F57" s="208" t="s">
        <v>68</v>
      </c>
      <c r="G57" s="221">
        <f t="shared" si="12"/>
        <v>0</v>
      </c>
      <c r="H57" s="220">
        <f t="shared" si="13"/>
        <v>0</v>
      </c>
    </row>
    <row r="58" spans="2:10" ht="20" customHeight="1" x14ac:dyDescent="0.3">
      <c r="F58" s="208" t="s">
        <v>69</v>
      </c>
      <c r="G58" s="221">
        <f t="shared" si="12"/>
        <v>0</v>
      </c>
      <c r="H58" s="220">
        <f t="shared" si="13"/>
        <v>0</v>
      </c>
    </row>
    <row r="59" spans="2:10" ht="20" customHeight="1" x14ac:dyDescent="0.3">
      <c r="F59" s="208" t="s">
        <v>70</v>
      </c>
      <c r="G59" s="221">
        <f t="shared" si="12"/>
        <v>0</v>
      </c>
      <c r="H59" s="220">
        <f t="shared" si="13"/>
        <v>0</v>
      </c>
    </row>
    <row r="60" spans="2:10" ht="20" customHeight="1" x14ac:dyDescent="0.3">
      <c r="F60" s="208" t="s">
        <v>146</v>
      </c>
      <c r="G60" s="223">
        <f>+SUM(G54:G59)</f>
        <v>0</v>
      </c>
      <c r="H60" s="220">
        <f>+G60/($G$50*$D$49)</f>
        <v>0</v>
      </c>
    </row>
    <row r="61" spans="2:10" ht="13.5" thickBot="1" x14ac:dyDescent="0.35"/>
    <row r="62" spans="2:10" ht="30" customHeight="1" thickBot="1" x14ac:dyDescent="0.35">
      <c r="B62" s="191"/>
      <c r="C62" s="446" t="s">
        <v>107</v>
      </c>
      <c r="D62" s="446"/>
      <c r="E62" s="192"/>
      <c r="F62" s="192"/>
      <c r="G62" s="192"/>
      <c r="H62" s="192"/>
      <c r="I62" s="216"/>
      <c r="J62" s="193"/>
    </row>
    <row r="63" spans="2:10" ht="38" customHeight="1" x14ac:dyDescent="0.3">
      <c r="C63" s="208" t="s">
        <v>95</v>
      </c>
      <c r="D63" s="195">
        <f>SUMPRODUCT((LEFT(G21:G33, 5)="Scoop") / (COUNTIF(G21:G33, G21:G33 &amp; "") + (G21:G33="")))</f>
        <v>1</v>
      </c>
      <c r="E63" s="447" t="s">
        <v>90</v>
      </c>
      <c r="F63" s="447"/>
      <c r="G63" s="218">
        <v>0.20833333333333334</v>
      </c>
      <c r="I63" s="139"/>
      <c r="J63" s="190"/>
    </row>
    <row r="64" spans="2:10" ht="38" customHeight="1" x14ac:dyDescent="0.3">
      <c r="C64" s="208" t="s">
        <v>145</v>
      </c>
      <c r="D64" s="195">
        <v>4.9000000000000004</v>
      </c>
      <c r="E64" s="447" t="s">
        <v>97</v>
      </c>
      <c r="F64" s="447"/>
      <c r="G64" s="195">
        <f>15000/(60)</f>
        <v>250</v>
      </c>
      <c r="H64" s="219" t="s">
        <v>23</v>
      </c>
      <c r="I64" s="139"/>
      <c r="J64" s="190"/>
    </row>
    <row r="65" spans="2:10" ht="38" customHeight="1" x14ac:dyDescent="0.3">
      <c r="E65" s="448" t="s">
        <v>98</v>
      </c>
      <c r="F65" s="448"/>
      <c r="G65" s="207">
        <f>+SUM(SUMIF($G$21:$G$33, "Scoop*", $J$21:$J$33))/SUMPRODUCT((LEFT(G21:G33, 5)="Scoop") / (COUNTIF(G21:G33, G21:G33 &amp; "") + (G21:G33="")))</f>
        <v>9.722222222222221E-2</v>
      </c>
      <c r="H65" s="220">
        <f>+G65*24/($G$63*24)</f>
        <v>0.46666666666666662</v>
      </c>
      <c r="I65" s="190"/>
      <c r="J65" s="190"/>
    </row>
    <row r="66" spans="2:10" ht="38" customHeight="1" x14ac:dyDescent="0.3">
      <c r="E66" s="448" t="s">
        <v>99</v>
      </c>
      <c r="F66" s="448"/>
      <c r="G66" s="221">
        <f>+SUM(W21:W33)*D64/D63</f>
        <v>0</v>
      </c>
      <c r="H66" s="220">
        <f>+G66/G64</f>
        <v>0</v>
      </c>
      <c r="I66" s="190"/>
      <c r="J66" s="190"/>
    </row>
    <row r="67" spans="2:10" ht="38" customHeight="1" x14ac:dyDescent="0.3">
      <c r="G67" s="222" t="s">
        <v>96</v>
      </c>
      <c r="H67" s="139" t="s">
        <v>23</v>
      </c>
    </row>
    <row r="68" spans="2:10" ht="20" customHeight="1" x14ac:dyDescent="0.3">
      <c r="F68" s="208" t="s">
        <v>71</v>
      </c>
      <c r="G68" s="221">
        <f t="shared" ref="G68:G73" si="14" xml:space="preserve"> SUMIF($G$21:$G$33, +F68,$W$21:$W$33)*$D$64</f>
        <v>0</v>
      </c>
      <c r="H68" s="220">
        <f>+G68/$G$64</f>
        <v>0</v>
      </c>
    </row>
    <row r="69" spans="2:10" ht="20" customHeight="1" x14ac:dyDescent="0.3">
      <c r="F69" s="208" t="s">
        <v>72</v>
      </c>
      <c r="G69" s="221">
        <f t="shared" si="14"/>
        <v>0</v>
      </c>
      <c r="H69" s="220">
        <f t="shared" ref="H69:H74" si="15">+G69/$G$64</f>
        <v>0</v>
      </c>
    </row>
    <row r="70" spans="2:10" ht="20" customHeight="1" x14ac:dyDescent="0.3">
      <c r="F70" s="208" t="s">
        <v>73</v>
      </c>
      <c r="G70" s="221">
        <f t="shared" si="14"/>
        <v>0</v>
      </c>
      <c r="H70" s="220">
        <f t="shared" si="15"/>
        <v>0</v>
      </c>
    </row>
    <row r="71" spans="2:10" ht="20" customHeight="1" x14ac:dyDescent="0.3">
      <c r="F71" s="208" t="s">
        <v>74</v>
      </c>
      <c r="G71" s="221">
        <f t="shared" si="14"/>
        <v>0</v>
      </c>
      <c r="H71" s="220">
        <f t="shared" si="15"/>
        <v>0</v>
      </c>
    </row>
    <row r="72" spans="2:10" ht="20" customHeight="1" x14ac:dyDescent="0.3">
      <c r="F72" s="208" t="s">
        <v>75</v>
      </c>
      <c r="G72" s="221">
        <f t="shared" si="14"/>
        <v>0</v>
      </c>
      <c r="H72" s="220">
        <f t="shared" si="15"/>
        <v>0</v>
      </c>
    </row>
    <row r="73" spans="2:10" ht="20" customHeight="1" x14ac:dyDescent="0.3">
      <c r="F73" s="208" t="s">
        <v>76</v>
      </c>
      <c r="G73" s="221">
        <f t="shared" si="14"/>
        <v>0</v>
      </c>
      <c r="H73" s="220">
        <f t="shared" si="15"/>
        <v>0</v>
      </c>
    </row>
    <row r="74" spans="2:10" ht="20" customHeight="1" x14ac:dyDescent="0.3">
      <c r="F74" s="208" t="s">
        <v>146</v>
      </c>
      <c r="G74" s="223">
        <f>+SUM(G68:G73)</f>
        <v>0</v>
      </c>
      <c r="H74" s="220">
        <f t="shared" si="15"/>
        <v>0</v>
      </c>
    </row>
    <row r="75" spans="2:10" ht="13.5" thickBot="1" x14ac:dyDescent="0.35"/>
    <row r="76" spans="2:10" ht="30" customHeight="1" thickBot="1" x14ac:dyDescent="0.35">
      <c r="B76" s="191"/>
      <c r="C76" s="446" t="s">
        <v>149</v>
      </c>
      <c r="D76" s="446"/>
      <c r="E76" s="192"/>
      <c r="F76" s="192"/>
      <c r="G76" s="192"/>
      <c r="H76" s="192"/>
      <c r="I76" s="216"/>
      <c r="J76" s="193"/>
    </row>
    <row r="77" spans="2:10" ht="25.25" customHeight="1" x14ac:dyDescent="0.3">
      <c r="C77" s="208" t="s">
        <v>150</v>
      </c>
      <c r="D77" s="195">
        <f>SUMPRODUCT((LEFT(G21:G33, 8)="Roboshot") / (COUNTIF(G21:G33, G21:G33 &amp; "") + (G21:G33="")))</f>
        <v>0</v>
      </c>
      <c r="E77" s="447" t="s">
        <v>90</v>
      </c>
      <c r="F77" s="447"/>
      <c r="G77" s="218">
        <v>0.20833333333333334</v>
      </c>
    </row>
    <row r="78" spans="2:10" x14ac:dyDescent="0.3">
      <c r="C78" s="208"/>
      <c r="D78" s="195"/>
      <c r="E78" s="447" t="s">
        <v>97</v>
      </c>
      <c r="F78" s="447"/>
      <c r="G78" s="195">
        <v>12</v>
      </c>
      <c r="H78" s="219" t="s">
        <v>23</v>
      </c>
    </row>
    <row r="80" spans="2:10" x14ac:dyDescent="0.3">
      <c r="G80" s="222" t="s">
        <v>96</v>
      </c>
      <c r="H80" s="139" t="s">
        <v>23</v>
      </c>
    </row>
    <row r="81" spans="6:8" x14ac:dyDescent="0.3">
      <c r="F81" s="208" t="s">
        <v>77</v>
      </c>
      <c r="G81" s="221">
        <f xml:space="preserve"> SUMIF($G$21:$G$33, +F81,$X$21:$X$33)</f>
        <v>0</v>
      </c>
      <c r="H81" s="220">
        <f>+G81/$G$78</f>
        <v>0</v>
      </c>
    </row>
    <row r="82" spans="6:8" x14ac:dyDescent="0.3">
      <c r="F82" s="208" t="s">
        <v>78</v>
      </c>
      <c r="G82" s="221">
        <f xml:space="preserve"> SUMIF($G$21:$G$33, +F82,$X$21:$X$33)</f>
        <v>0</v>
      </c>
      <c r="H82" s="220">
        <f t="shared" ref="H82:H83" si="16">+G82/$G$78</f>
        <v>0</v>
      </c>
    </row>
    <row r="83" spans="6:8" x14ac:dyDescent="0.3">
      <c r="F83" s="208" t="s">
        <v>79</v>
      </c>
      <c r="G83" s="221">
        <f xml:space="preserve"> SUMIF($G$21:$G$33, +F83,$X$21:$X$33)</f>
        <v>0</v>
      </c>
      <c r="H83" s="220">
        <f t="shared" si="16"/>
        <v>0</v>
      </c>
    </row>
    <row r="84" spans="6:8" x14ac:dyDescent="0.3">
      <c r="F84" s="208" t="s">
        <v>146</v>
      </c>
      <c r="G84" s="223">
        <f>+SUM(G81:G83)</f>
        <v>0</v>
      </c>
      <c r="H84" s="220">
        <f>+G84/$G$78</f>
        <v>0</v>
      </c>
    </row>
  </sheetData>
  <mergeCells count="36">
    <mergeCell ref="E78:F78"/>
    <mergeCell ref="E52:F52"/>
    <mergeCell ref="C62:D62"/>
    <mergeCell ref="E63:F63"/>
    <mergeCell ref="E64:F64"/>
    <mergeCell ref="E65:F65"/>
    <mergeCell ref="E66:F66"/>
    <mergeCell ref="C48:D48"/>
    <mergeCell ref="E49:F49"/>
    <mergeCell ref="E50:F50"/>
    <mergeCell ref="C76:D76"/>
    <mergeCell ref="E77:F77"/>
    <mergeCell ref="E51:F51"/>
    <mergeCell ref="E44:G44"/>
    <mergeCell ref="E45:G45"/>
    <mergeCell ref="E46:G46"/>
    <mergeCell ref="C36:D36"/>
    <mergeCell ref="G36:H36"/>
    <mergeCell ref="E37:F37"/>
    <mergeCell ref="E38:F38"/>
    <mergeCell ref="E39:F39"/>
    <mergeCell ref="E42:G42"/>
    <mergeCell ref="E43:G43"/>
    <mergeCell ref="I36:J36"/>
    <mergeCell ref="K36:L36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38:H39 J38:J39">
    <cfRule type="cellIs" dxfId="1091" priority="13" operator="greaterThan">
      <formula>0.9</formula>
    </cfRule>
    <cfRule type="cellIs" dxfId="1090" priority="14" operator="between">
      <formula>0.81</formula>
      <formula>0.89</formula>
    </cfRule>
    <cfRule type="cellIs" dxfId="1089" priority="15" operator="lessThan">
      <formula>0.8</formula>
    </cfRule>
  </conditionalFormatting>
  <conditionalFormatting sqref="H51:H52">
    <cfRule type="cellIs" dxfId="1088" priority="16" operator="greaterThan">
      <formula>0.9</formula>
    </cfRule>
    <cfRule type="cellIs" dxfId="1087" priority="17" operator="between">
      <formula>0.81</formula>
      <formula>0.89</formula>
    </cfRule>
    <cfRule type="cellIs" dxfId="1086" priority="18" operator="lessThan">
      <formula>0.8</formula>
    </cfRule>
  </conditionalFormatting>
  <conditionalFormatting sqref="H54:H60">
    <cfRule type="cellIs" dxfId="1085" priority="19" operator="greaterThan">
      <formula>0.9</formula>
    </cfRule>
    <cfRule type="cellIs" dxfId="1084" priority="20" operator="between">
      <formula>0.81</formula>
      <formula>0.89</formula>
    </cfRule>
    <cfRule type="cellIs" dxfId="1083" priority="21" operator="lessThan">
      <formula>0.8</formula>
    </cfRule>
  </conditionalFormatting>
  <conditionalFormatting sqref="H65:H66">
    <cfRule type="cellIs" dxfId="1082" priority="7" operator="greaterThan">
      <formula>0.9</formula>
    </cfRule>
    <cfRule type="cellIs" dxfId="1081" priority="8" operator="between">
      <formula>0.81</formula>
      <formula>0.89</formula>
    </cfRule>
    <cfRule type="cellIs" dxfId="1080" priority="9" operator="lessThan">
      <formula>0.8</formula>
    </cfRule>
  </conditionalFormatting>
  <conditionalFormatting sqref="H68:H74">
    <cfRule type="cellIs" dxfId="1079" priority="10" operator="greaterThan">
      <formula>0.9</formula>
    </cfRule>
    <cfRule type="cellIs" dxfId="1078" priority="11" operator="between">
      <formula>0.81</formula>
      <formula>0.89</formula>
    </cfRule>
    <cfRule type="cellIs" dxfId="1077" priority="12" operator="lessThan">
      <formula>0.8</formula>
    </cfRule>
  </conditionalFormatting>
  <conditionalFormatting sqref="H81:H84">
    <cfRule type="cellIs" dxfId="1076" priority="4" operator="greaterThan">
      <formula>0.9</formula>
    </cfRule>
    <cfRule type="cellIs" dxfId="1075" priority="5" operator="between">
      <formula>0.81</formula>
      <formula>0.89</formula>
    </cfRule>
    <cfRule type="cellIs" dxfId="1074" priority="6" operator="lessThan">
      <formula>0.8</formula>
    </cfRule>
  </conditionalFormatting>
  <conditionalFormatting sqref="L38:L39">
    <cfRule type="cellIs" dxfId="1073" priority="1" operator="greaterThan">
      <formula>0.9</formula>
    </cfRule>
    <cfRule type="cellIs" dxfId="1072" priority="2" operator="between">
      <formula>0.81</formula>
      <formula>0.89</formula>
    </cfRule>
    <cfRule type="cellIs" dxfId="1071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14DA04-3B11-47EA-BF0C-4CADEF55236F}">
          <x14:formula1>
            <xm:f>Datos!$F$3:$F$41</xm:f>
          </x14:formula1>
          <xm:sqref>G29:G34 G21:G26</xm:sqref>
        </x14:dataValidation>
        <x14:dataValidation type="list" allowBlank="1" showInputMessage="1" showErrorMessage="1" xr:uid="{2F8D83DB-C272-4693-8804-640D1CD76E4F}">
          <x14:formula1>
            <xm:f>Datos!$W$3:$W$12</xm:f>
          </x14:formula1>
          <xm:sqref>L21:L26 L29:L34</xm:sqref>
        </x14:dataValidation>
        <x14:dataValidation type="list" allowBlank="1" showInputMessage="1" showErrorMessage="1" xr:uid="{4B3F3BF0-B4D9-42B4-A19F-F889F6FE44A4}">
          <x14:formula1>
            <xm:f>Datos!$D$3:$D$27</xm:f>
          </x14:formula1>
          <xm:sqref>F29:F34 F21:F26</xm:sqref>
        </x14:dataValidation>
        <x14:dataValidation type="list" allowBlank="1" showInputMessage="1" showErrorMessage="1" xr:uid="{E38EDF88-3FC1-4476-AB5A-F8C3915E3C7C}">
          <x14:formula1>
            <xm:f>Datos!$B$3:$B$8</xm:f>
          </x14:formula1>
          <xm:sqref>E29:E34 E21:E26</xm:sqref>
        </x14:dataValidation>
        <x14:dataValidation type="list" allowBlank="1" showInputMessage="1" showErrorMessage="1" xr:uid="{EE09986A-897D-4D22-93B4-61CD001C1DBF}">
          <x14:formula1>
            <xm:f>Datos!$H$3:$H$52</xm:f>
          </x14:formula1>
          <xm:sqref>D30:D31 D22</xm:sqref>
        </x14:dataValidation>
        <x14:dataValidation type="list" allowBlank="1" showInputMessage="1" showErrorMessage="1" xr:uid="{D0C194EF-2808-458F-BFC9-CC80DE1C2E35}">
          <x14:formula1>
            <xm:f>Datos!$H$3:$H$26</xm:f>
          </x14:formula1>
          <xm:sqref>D29 D25:D26 D21 D32:D34</xm:sqref>
        </x14:dataValidation>
        <x14:dataValidation type="list" allowBlank="1" showInputMessage="1" showErrorMessage="1" xr:uid="{95D653E8-E460-4E18-AB20-BE9D02704185}">
          <x14:formula1>
            <xm:f>Datos!$H$3:$H$34</xm:f>
          </x14:formula1>
          <xm:sqref>D23:D24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5CCB-18DA-435C-8B87-13672F66201D}">
  <sheetPr>
    <pageSetUpPr fitToPage="1"/>
  </sheetPr>
  <dimension ref="B1:X84"/>
  <sheetViews>
    <sheetView showGridLines="0" topLeftCell="A19" zoomScale="85" zoomScaleNormal="85" zoomScaleSheetLayoutView="50" workbookViewId="0">
      <pane xSplit="3" ySplit="2" topLeftCell="D36" activePane="bottomRight" state="frozen"/>
      <selection activeCell="A19" sqref="A19"/>
      <selection pane="topRight" activeCell="D19" sqref="D19"/>
      <selection pane="bottomLeft" activeCell="A21" sqref="A21"/>
      <selection pane="bottomRight" activeCell="M48" sqref="M48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8.36328125" style="134" bestFit="1" customWidth="1"/>
    <col min="10" max="10" width="17.6328125" style="134" bestFit="1" customWidth="1"/>
    <col min="11" max="11" width="18.453125" style="134" bestFit="1" customWidth="1"/>
    <col min="12" max="12" width="20.36328125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+G38</f>
        <v>0.6597222222222221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+H39</f>
        <v>0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+G60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+G74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+G84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38" customHeight="1" x14ac:dyDescent="0.3">
      <c r="B21" s="172"/>
      <c r="C21" s="173" t="s">
        <v>249</v>
      </c>
      <c r="D21" s="173" t="s">
        <v>63</v>
      </c>
      <c r="E21" s="172" t="s">
        <v>6</v>
      </c>
      <c r="F21" s="172" t="s">
        <v>165</v>
      </c>
      <c r="G21" s="172" t="s">
        <v>203</v>
      </c>
      <c r="H21" s="174">
        <v>0.90625</v>
      </c>
      <c r="I21" s="174">
        <v>4.1666666666666664E-2</v>
      </c>
      <c r="J21" s="175">
        <f t="shared" ref="J21:J24" si="0">MOD(I21-H21, 1)</f>
        <v>0.13541666666666663</v>
      </c>
      <c r="K21" s="176">
        <v>80</v>
      </c>
      <c r="L21" s="177" t="s">
        <v>138</v>
      </c>
      <c r="M21" s="178">
        <v>3.8</v>
      </c>
      <c r="N21" s="179">
        <v>0</v>
      </c>
      <c r="O21" s="180" t="s">
        <v>251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>
        <f>IF(OR(D21="Perforación de Fortificación", D21="Perforación de Avance", D21="Perforación Desquinche"), K21*M21, "")</f>
        <v>304</v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/>
      <c r="C22" s="173" t="str">
        <f>+C21</f>
        <v>Frotòn Drenaje</v>
      </c>
      <c r="D22" s="173" t="s">
        <v>59</v>
      </c>
      <c r="E22" s="172" t="s">
        <v>6</v>
      </c>
      <c r="F22" s="172" t="s">
        <v>165</v>
      </c>
      <c r="G22" s="172" t="s">
        <v>213</v>
      </c>
      <c r="H22" s="174">
        <v>4.8611111111111112E-2</v>
      </c>
      <c r="I22" s="174">
        <v>8.3333333333333329E-2</v>
      </c>
      <c r="J22" s="175">
        <f t="shared" si="0"/>
        <v>3.4722222222222217E-2</v>
      </c>
      <c r="K22" s="178">
        <v>0</v>
      </c>
      <c r="L22" s="177"/>
      <c r="M22" s="178">
        <v>0</v>
      </c>
      <c r="N22" s="179">
        <v>0</v>
      </c>
      <c r="O22" s="180" t="s">
        <v>246</v>
      </c>
      <c r="P22" s="181"/>
      <c r="Q22" s="174"/>
      <c r="R22" s="172"/>
      <c r="S22" s="175">
        <f t="shared" ref="S22:S26" si="1">+MOD(R22-Q22,1)</f>
        <v>0</v>
      </c>
      <c r="U22" s="182">
        <f>+IFERROR(VLOOKUP(D22,Datos!$R$3:$T$19,3,FALSE), "0")*N22</f>
        <v>0</v>
      </c>
      <c r="V22" s="183" t="str">
        <f t="shared" ref="V22:V26" si="2">IF(OR(D22="Perforación de Fortificación", D22="Perforación de Avance", D22="Perforación Desquinche"), K22*M22, "")</f>
        <v/>
      </c>
      <c r="W22" s="183" t="str">
        <f t="shared" ref="W22:W26" si="3">IF(D22="Extracción de Marina Disparo",K22,"")</f>
        <v/>
      </c>
      <c r="X22" s="183" t="str">
        <f t="shared" ref="X22:X26" si="4">IF(OR(D22="Shotcrete", D22="Pre Shotcrete"), K22, "")</f>
        <v/>
      </c>
    </row>
    <row r="23" spans="2:24" ht="38" customHeight="1" x14ac:dyDescent="0.3">
      <c r="B23" s="172"/>
      <c r="C23" s="173" t="str">
        <f t="shared" ref="C23:C24" si="5">+C22</f>
        <v>Frotòn Drenaje</v>
      </c>
      <c r="D23" s="173" t="s">
        <v>56</v>
      </c>
      <c r="E23" s="172" t="s">
        <v>6</v>
      </c>
      <c r="F23" s="172" t="s">
        <v>165</v>
      </c>
      <c r="G23" s="172" t="s">
        <v>212</v>
      </c>
      <c r="H23" s="174">
        <v>8.3333333333333329E-2</v>
      </c>
      <c r="I23" s="174">
        <v>0.10416666666666667</v>
      </c>
      <c r="J23" s="175">
        <f t="shared" si="0"/>
        <v>2.0833333333333343E-2</v>
      </c>
      <c r="K23" s="178"/>
      <c r="L23" s="177"/>
      <c r="M23" s="178"/>
      <c r="N23" s="179">
        <v>0</v>
      </c>
      <c r="O23" s="180"/>
      <c r="P23" s="181"/>
      <c r="Q23" s="174"/>
      <c r="R23" s="174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/>
      <c r="C24" s="173" t="str">
        <f t="shared" si="5"/>
        <v>Frotòn Drenaje</v>
      </c>
      <c r="D24" s="173" t="s">
        <v>55</v>
      </c>
      <c r="E24" s="172" t="s">
        <v>6</v>
      </c>
      <c r="F24" s="172" t="s">
        <v>165</v>
      </c>
      <c r="G24" s="172" t="s">
        <v>212</v>
      </c>
      <c r="H24" s="174">
        <v>0.1111111111111111</v>
      </c>
      <c r="I24" s="174">
        <v>0.25</v>
      </c>
      <c r="J24" s="175">
        <f t="shared" si="0"/>
        <v>0.1388888888888889</v>
      </c>
      <c r="K24" s="178">
        <v>98</v>
      </c>
      <c r="L24" s="177" t="s">
        <v>129</v>
      </c>
      <c r="M24" s="178">
        <v>3.8</v>
      </c>
      <c r="N24" s="179">
        <v>0</v>
      </c>
      <c r="O24" s="180"/>
      <c r="P24" s="181"/>
      <c r="Q24" s="172"/>
      <c r="R24" s="172"/>
      <c r="S24" s="175">
        <f t="shared" si="1"/>
        <v>0</v>
      </c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180"/>
      <c r="P25" s="181"/>
      <c r="Q25" s="172"/>
      <c r="R25" s="172"/>
      <c r="S25" s="175">
        <f t="shared" si="1"/>
        <v>0</v>
      </c>
      <c r="U25" s="182" t="str">
        <f>+IFERROR(VLOOKUP(D25,Datos!$R$3:$T$19,3,FALSE), "0")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>
        <f>SUM(J21:J25)</f>
        <v>0.32986111111111105</v>
      </c>
      <c r="K26" s="178"/>
      <c r="L26" s="177"/>
      <c r="M26" s="178"/>
      <c r="N26" s="179"/>
      <c r="O26" s="180" t="s">
        <v>250</v>
      </c>
      <c r="P26" s="172"/>
      <c r="Q26" s="172"/>
      <c r="R26" s="172"/>
      <c r="S26" s="175">
        <f t="shared" si="1"/>
        <v>0</v>
      </c>
      <c r="U26" s="184"/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/>
      <c r="C29" s="173" t="str">
        <f>+Datos!R23</f>
        <v>Ciclo Minero 5,2 x 5,6 m
Galería Acceso Portal de Servicio</v>
      </c>
      <c r="D29" s="173" t="s">
        <v>173</v>
      </c>
      <c r="E29" s="172" t="s">
        <v>6</v>
      </c>
      <c r="F29" s="172" t="s">
        <v>166</v>
      </c>
      <c r="G29" s="172"/>
      <c r="H29" s="174">
        <v>0.91666666666666663</v>
      </c>
      <c r="I29" s="174">
        <v>0.94444444444444442</v>
      </c>
      <c r="J29" s="175">
        <f t="shared" ref="J29:J33" si="6">MOD(I29-H29, 1)</f>
        <v>2.777777777777779E-2</v>
      </c>
      <c r="K29" s="178"/>
      <c r="L29" s="177"/>
      <c r="M29" s="178">
        <v>0</v>
      </c>
      <c r="N29" s="179">
        <v>1</v>
      </c>
      <c r="O29" s="186" t="s">
        <v>252</v>
      </c>
      <c r="P29" s="181"/>
      <c r="Q29" s="174"/>
      <c r="R29" s="174"/>
      <c r="S29" s="175">
        <f>+MOD(R29-Q29,1)</f>
        <v>0</v>
      </c>
      <c r="U29" s="187">
        <f>+IFERROR(VLOOKUP(D29,Datos!$R$24:$T$40,3,FALSE), "0")</f>
        <v>4.1055718475073312E-2</v>
      </c>
      <c r="V29" s="183" t="str">
        <f t="shared" ref="V29:V34" si="7">IF(OR(D29="Perforación de Fortificación", D29="Perforación de Avance", D29="Perforación Desquinche"), K29*M29, "")</f>
        <v/>
      </c>
      <c r="W29" s="183" t="str">
        <f>IF(D29="Extracción de Marina Disparo",K29,"")</f>
        <v/>
      </c>
      <c r="X29" s="183" t="str">
        <f t="shared" ref="X29:X34" si="8">IF(OR(D29="Shotcrete", D29="Pre Shotcrete"), K29, "")</f>
        <v/>
      </c>
    </row>
    <row r="30" spans="2:24" ht="38" customHeight="1" x14ac:dyDescent="0.3">
      <c r="B30" s="172"/>
      <c r="C30" s="173" t="str">
        <f>+C29</f>
        <v>Ciclo Minero 5,2 x 5,6 m
Galería Acceso Portal de Servicio</v>
      </c>
      <c r="D30" s="173" t="s">
        <v>52</v>
      </c>
      <c r="E30" s="172" t="s">
        <v>6</v>
      </c>
      <c r="F30" s="172" t="s">
        <v>166</v>
      </c>
      <c r="G30" s="172" t="s">
        <v>211</v>
      </c>
      <c r="H30" s="174">
        <v>0.95833333333333337</v>
      </c>
      <c r="I30" s="174">
        <v>6.25E-2</v>
      </c>
      <c r="J30" s="175">
        <f t="shared" si="6"/>
        <v>0.10416666666666663</v>
      </c>
      <c r="K30" s="178">
        <f>14.43*3.2</f>
        <v>46.176000000000002</v>
      </c>
      <c r="L30" s="177" t="s">
        <v>126</v>
      </c>
      <c r="M30" s="178"/>
      <c r="N30" s="179">
        <v>1</v>
      </c>
      <c r="O30" s="188" t="s">
        <v>253</v>
      </c>
      <c r="P30" s="172"/>
      <c r="Q30" s="172"/>
      <c r="R30" s="172"/>
      <c r="S30" s="175">
        <f t="shared" ref="S30:S34" si="9">+MOD(R30-Q30,1)</f>
        <v>0</v>
      </c>
      <c r="U30" s="187">
        <f>+IFERROR(VLOOKUP(D30,Datos!$R$24:$T$40,3,FALSE), "0")</f>
        <v>7.3313782991202336E-2</v>
      </c>
      <c r="V30" s="183" t="str">
        <f t="shared" si="7"/>
        <v/>
      </c>
      <c r="W30" s="183" t="str">
        <f t="shared" ref="W30:W34" si="10">IF(D30="Extracción de Marina Disparo",K30,"")</f>
        <v/>
      </c>
      <c r="X30" s="183" t="str">
        <f t="shared" si="8"/>
        <v/>
      </c>
    </row>
    <row r="31" spans="2:24" ht="38" customHeight="1" x14ac:dyDescent="0.3">
      <c r="B31" s="172"/>
      <c r="C31" s="173" t="str">
        <f t="shared" ref="C31:C34" si="11">+C30</f>
        <v>Ciclo Minero 5,2 x 5,6 m
Galería Acceso Portal de Servicio</v>
      </c>
      <c r="D31" s="173" t="s">
        <v>59</v>
      </c>
      <c r="E31" s="172" t="s">
        <v>6</v>
      </c>
      <c r="F31" s="172" t="s">
        <v>166</v>
      </c>
      <c r="G31" s="172" t="s">
        <v>213</v>
      </c>
      <c r="H31" s="174">
        <v>8.3333333333333329E-2</v>
      </c>
      <c r="I31" s="174">
        <v>0.125</v>
      </c>
      <c r="J31" s="175">
        <f t="shared" ref="J31" si="12">MOD(I31-H31, 1)</f>
        <v>4.1666666666666671E-2</v>
      </c>
      <c r="K31" s="178"/>
      <c r="L31" s="177"/>
      <c r="M31" s="178"/>
      <c r="N31" s="179">
        <v>1</v>
      </c>
      <c r="O31" s="188"/>
      <c r="P31" s="181"/>
      <c r="Q31" s="174"/>
      <c r="R31" s="174"/>
      <c r="S31" s="175">
        <f t="shared" si="9"/>
        <v>0</v>
      </c>
      <c r="U31" s="187">
        <f>+IFERROR(VLOOKUP(D31,Datos!$R$24:$T$40,3,FALSE), "0")</f>
        <v>9.7751710654936444E-3</v>
      </c>
      <c r="V31" s="183" t="str">
        <f t="shared" si="7"/>
        <v/>
      </c>
      <c r="W31" s="183" t="str">
        <f t="shared" si="10"/>
        <v/>
      </c>
      <c r="X31" s="183" t="str">
        <f t="shared" si="8"/>
        <v/>
      </c>
    </row>
    <row r="32" spans="2:24" ht="38" customHeight="1" x14ac:dyDescent="0.3">
      <c r="B32" s="172"/>
      <c r="C32" s="173" t="str">
        <f t="shared" si="11"/>
        <v>Ciclo Minero 5,2 x 5,6 m
Galería Acceso Portal de Servicio</v>
      </c>
      <c r="D32" s="173" t="s">
        <v>63</v>
      </c>
      <c r="E32" s="172" t="s">
        <v>6</v>
      </c>
      <c r="F32" s="172" t="s">
        <v>166</v>
      </c>
      <c r="G32" s="172" t="s">
        <v>202</v>
      </c>
      <c r="H32" s="174">
        <v>0.14583333333333334</v>
      </c>
      <c r="I32" s="174">
        <v>0.27083333333333331</v>
      </c>
      <c r="J32" s="175">
        <f t="shared" si="6"/>
        <v>0.12499999999999997</v>
      </c>
      <c r="K32" s="178"/>
      <c r="L32" s="177"/>
      <c r="M32" s="178"/>
      <c r="N32" s="179">
        <v>0</v>
      </c>
      <c r="O32" s="188"/>
      <c r="P32" s="173" t="s">
        <v>254</v>
      </c>
      <c r="Q32" s="172"/>
      <c r="R32" s="172"/>
      <c r="S32" s="175">
        <f t="shared" si="9"/>
        <v>0</v>
      </c>
      <c r="U32" s="187">
        <f>+IFERROR(VLOOKUP(D32,Datos!$R$24:$T$40,3,FALSE), "0")*N32</f>
        <v>0</v>
      </c>
      <c r="V32" s="183">
        <f t="shared" si="7"/>
        <v>0</v>
      </c>
      <c r="W32" s="183" t="str">
        <f t="shared" si="10"/>
        <v/>
      </c>
      <c r="X32" s="183" t="str">
        <f t="shared" si="8"/>
        <v/>
      </c>
    </row>
    <row r="33" spans="2:24" ht="38" customHeight="1" x14ac:dyDescent="0.3">
      <c r="B33" s="172"/>
      <c r="C33" s="173" t="str">
        <f t="shared" si="11"/>
        <v>Ciclo Minero 5,2 x 5,6 m
Galería Acceso Portal de Servicio</v>
      </c>
      <c r="D33" s="173"/>
      <c r="E33" s="172"/>
      <c r="F33" s="172"/>
      <c r="G33" s="172"/>
      <c r="H33" s="174"/>
      <c r="I33" s="174"/>
      <c r="J33" s="175">
        <f t="shared" si="6"/>
        <v>0</v>
      </c>
      <c r="K33" s="178"/>
      <c r="L33" s="177"/>
      <c r="M33" s="178"/>
      <c r="N33" s="179"/>
      <c r="O33" s="188"/>
      <c r="P33" s="172"/>
      <c r="Q33" s="172"/>
      <c r="R33" s="172"/>
      <c r="S33" s="175">
        <f t="shared" si="9"/>
        <v>0</v>
      </c>
      <c r="U33" s="189"/>
      <c r="V33" s="183" t="str">
        <f t="shared" si="7"/>
        <v/>
      </c>
      <c r="W33" s="183" t="str">
        <f t="shared" si="10"/>
        <v/>
      </c>
      <c r="X33" s="183" t="str">
        <f t="shared" si="8"/>
        <v/>
      </c>
    </row>
    <row r="34" spans="2:24" ht="38" customHeight="1" x14ac:dyDescent="0.3">
      <c r="B34" s="172"/>
      <c r="C34" s="173" t="str">
        <f t="shared" si="11"/>
        <v>Ciclo Minero 5,2 x 5,6 m
Galería Acceso Portal de Servicio</v>
      </c>
      <c r="D34" s="173"/>
      <c r="E34" s="172"/>
      <c r="F34" s="172"/>
      <c r="G34" s="172"/>
      <c r="H34" s="174"/>
      <c r="I34" s="172"/>
      <c r="J34" s="175">
        <f>SUM(J29:J33)</f>
        <v>0.29861111111111105</v>
      </c>
      <c r="K34" s="178"/>
      <c r="L34" s="177"/>
      <c r="M34" s="178"/>
      <c r="N34" s="179"/>
      <c r="O34" s="179"/>
      <c r="P34" s="172"/>
      <c r="Q34" s="172"/>
      <c r="R34" s="172"/>
      <c r="S34" s="175">
        <f t="shared" si="9"/>
        <v>0</v>
      </c>
      <c r="U34" s="184"/>
      <c r="V34" s="183" t="str">
        <f t="shared" si="7"/>
        <v/>
      </c>
      <c r="W34" s="183" t="str">
        <f t="shared" si="10"/>
        <v/>
      </c>
      <c r="X34" s="183" t="str">
        <f t="shared" si="8"/>
        <v/>
      </c>
    </row>
    <row r="35" spans="2:24" ht="15.65" customHeight="1" thickBot="1" x14ac:dyDescent="0.35">
      <c r="B35" s="190"/>
      <c r="C35" s="190"/>
      <c r="D35" s="190"/>
      <c r="E35" s="190"/>
      <c r="F35" s="190"/>
      <c r="G35" s="190"/>
      <c r="H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</row>
    <row r="36" spans="2:24" ht="30" customHeight="1" thickBot="1" x14ac:dyDescent="0.35">
      <c r="B36" s="191"/>
      <c r="C36" s="446" t="s">
        <v>64</v>
      </c>
      <c r="D36" s="446"/>
      <c r="E36" s="192"/>
      <c r="F36" s="192"/>
      <c r="G36" s="431">
        <v>3500</v>
      </c>
      <c r="H36" s="432"/>
      <c r="I36" s="431">
        <v>3700</v>
      </c>
      <c r="J36" s="432"/>
      <c r="K36" s="433" t="s">
        <v>146</v>
      </c>
      <c r="L36" s="434"/>
      <c r="M36" s="190"/>
      <c r="N36" s="190"/>
      <c r="O36" s="190"/>
      <c r="P36" s="190"/>
      <c r="Q36" s="190"/>
      <c r="R36" s="190"/>
      <c r="S36" s="190"/>
    </row>
    <row r="37" spans="2:24" ht="30" customHeight="1" x14ac:dyDescent="0.3">
      <c r="C37" s="194" t="s">
        <v>48</v>
      </c>
      <c r="D37" s="195">
        <f>SUMPRODUCT((LEFT(F21:F33, 1)="C") / (COUNTIF(F21:F33, F21:F33 &amp; "") + (F21:F33="")))</f>
        <v>0</v>
      </c>
      <c r="E37" s="447" t="s">
        <v>90</v>
      </c>
      <c r="F37" s="447"/>
      <c r="G37" s="196">
        <v>0.26041666666666669</v>
      </c>
      <c r="H37" s="197" t="s">
        <v>23</v>
      </c>
      <c r="I37" s="196">
        <v>0.26041666666666669</v>
      </c>
      <c r="J37" s="197" t="s">
        <v>23</v>
      </c>
      <c r="K37" s="198">
        <f>+G37</f>
        <v>0.26041666666666669</v>
      </c>
      <c r="L37" s="197" t="s">
        <v>23</v>
      </c>
      <c r="M37" s="190"/>
      <c r="N37" s="190"/>
      <c r="O37" s="190"/>
      <c r="P37" s="190"/>
      <c r="Q37" s="190"/>
      <c r="R37" s="190"/>
      <c r="S37" s="190"/>
    </row>
    <row r="38" spans="2:24" x14ac:dyDescent="0.3">
      <c r="C38" s="194" t="s">
        <v>49</v>
      </c>
      <c r="D38" s="195">
        <f>SUMPRODUCT((LEFT(F21:F33, 1)="O") / (COUNTIF(F21:F33, F21:F33 &amp; "") + (F21:F33="")))</f>
        <v>0</v>
      </c>
      <c r="E38" s="448" t="s">
        <v>198</v>
      </c>
      <c r="F38" s="448"/>
      <c r="G38" s="199">
        <f>SUM(J21:J26)</f>
        <v>0.6597222222222221</v>
      </c>
      <c r="H38" s="200">
        <f>+G38*24/($G$37*24)</f>
        <v>2.5333333333333328</v>
      </c>
      <c r="I38" s="199">
        <f>SUM(J29:J33)</f>
        <v>0.29861111111111105</v>
      </c>
      <c r="J38" s="200">
        <f>+I38*24/($I$37*24)</f>
        <v>1.1466666666666665</v>
      </c>
      <c r="K38" s="201">
        <f>AVERAGE(G38+I38)/2</f>
        <v>0.47916666666666657</v>
      </c>
      <c r="L38" s="200">
        <f>+K38*24/($K$37*24)</f>
        <v>1.8399999999999996</v>
      </c>
      <c r="M38" s="190"/>
      <c r="N38" s="190"/>
      <c r="O38" s="190"/>
      <c r="P38" s="190"/>
      <c r="Q38" s="190"/>
      <c r="R38" s="190"/>
      <c r="S38" s="190"/>
    </row>
    <row r="39" spans="2:24" ht="43.25" customHeight="1" thickBot="1" x14ac:dyDescent="0.35">
      <c r="E39" s="448" t="s">
        <v>94</v>
      </c>
      <c r="F39" s="448"/>
      <c r="G39" s="202"/>
      <c r="H39" s="203">
        <f>+AVERAGE(N21:N26)</f>
        <v>0</v>
      </c>
      <c r="I39" s="202"/>
      <c r="J39" s="203">
        <f>+AVERAGE(N29:N33)</f>
        <v>0.75</v>
      </c>
      <c r="K39" s="204"/>
      <c r="L39" s="203">
        <f>+AVERAGE(N21:N33)</f>
        <v>0.375</v>
      </c>
    </row>
    <row r="40" spans="2:24" ht="43.25" customHeight="1" x14ac:dyDescent="0.3">
      <c r="E40" s="205"/>
      <c r="F40" s="205"/>
      <c r="G40" s="206"/>
      <c r="H40" s="206"/>
      <c r="I40" s="137"/>
      <c r="J40" s="137"/>
      <c r="K40" s="137"/>
      <c r="L40" s="137"/>
    </row>
    <row r="41" spans="2:24" ht="43.25" customHeight="1" x14ac:dyDescent="0.3">
      <c r="E41" s="194"/>
      <c r="F41" s="194"/>
      <c r="G41" s="207"/>
      <c r="H41" s="350" t="s">
        <v>24</v>
      </c>
      <c r="I41" s="350" t="s">
        <v>199</v>
      </c>
      <c r="J41" s="350" t="s">
        <v>201</v>
      </c>
      <c r="K41" s="350" t="s">
        <v>200</v>
      </c>
      <c r="L41" s="345" t="s">
        <v>484</v>
      </c>
      <c r="M41" s="345" t="s">
        <v>485</v>
      </c>
      <c r="N41" s="208"/>
    </row>
    <row r="42" spans="2:24" ht="14.5" x14ac:dyDescent="0.35">
      <c r="E42" s="445" t="s">
        <v>174</v>
      </c>
      <c r="F42" s="445"/>
      <c r="G42" s="445"/>
      <c r="H42" s="209">
        <f>SUMPRODUCT(N29:N33 * U29:U33 * (N29:N33&lt;&gt;"") * (U29:U33&lt;&gt;""))</f>
        <v>0.12414467253176928</v>
      </c>
      <c r="I42" s="210">
        <f>+H42*$J$42*$K$42</f>
        <v>2.8021935483870961</v>
      </c>
      <c r="J42" s="211">
        <v>6.6</v>
      </c>
      <c r="K42" s="212">
        <v>3.42</v>
      </c>
      <c r="L42" s="344">
        <v>56.080975609756102</v>
      </c>
      <c r="M42" s="344">
        <f>+L42*K42*H42</f>
        <v>23.810567884986764</v>
      </c>
    </row>
    <row r="43" spans="2:24" ht="14.4" customHeight="1" x14ac:dyDescent="0.35">
      <c r="E43" s="445" t="s">
        <v>175</v>
      </c>
      <c r="F43" s="445"/>
      <c r="G43" s="445"/>
      <c r="H43" s="209">
        <f>+SUMPRODUCT(N21:N26 * U21:U26 * (N21:N26&lt;&gt;"") * (U21:U26&lt;&gt;""))</f>
        <v>0</v>
      </c>
      <c r="I43" s="210">
        <f>+H43*$J$43*$K$43</f>
        <v>0</v>
      </c>
      <c r="J43" s="211">
        <v>11.8</v>
      </c>
      <c r="K43" s="212">
        <v>3.42</v>
      </c>
      <c r="L43" s="344">
        <v>118.52055555555555</v>
      </c>
      <c r="M43" s="344">
        <f>+L43*K43*H43</f>
        <v>0</v>
      </c>
    </row>
    <row r="44" spans="2:24" ht="14.4" customHeight="1" x14ac:dyDescent="0.35">
      <c r="E44" s="445" t="s">
        <v>224</v>
      </c>
      <c r="F44" s="445"/>
      <c r="G44" s="445"/>
      <c r="H44" s="209"/>
      <c r="I44" s="210">
        <f>+J44*K44</f>
        <v>0</v>
      </c>
      <c r="J44" s="214">
        <f>1892/1000000</f>
        <v>1.892E-3</v>
      </c>
      <c r="K44" s="215">
        <f>+((15*4.4)*2.72)*K31*0</f>
        <v>0</v>
      </c>
      <c r="L44" s="346">
        <v>1.6919982016368774E-2</v>
      </c>
      <c r="M44" s="344">
        <f>+L44*K44</f>
        <v>0</v>
      </c>
    </row>
    <row r="45" spans="2:24" ht="14.4" customHeight="1" x14ac:dyDescent="0.35">
      <c r="E45" s="445" t="s">
        <v>225</v>
      </c>
      <c r="F45" s="445"/>
      <c r="G45" s="445"/>
      <c r="H45" s="209"/>
      <c r="I45" s="210">
        <f>+J45*K45</f>
        <v>0</v>
      </c>
      <c r="J45" s="214">
        <f>+J44</f>
        <v>1.892E-3</v>
      </c>
      <c r="K45" s="215">
        <f>+((15*2.8)*2.72)*0</f>
        <v>0</v>
      </c>
      <c r="L45" s="346">
        <v>1.6909997294111807E-2</v>
      </c>
      <c r="M45" s="344">
        <f>+L45*K45</f>
        <v>0</v>
      </c>
    </row>
    <row r="46" spans="2:24" ht="14.4" customHeight="1" x14ac:dyDescent="0.35">
      <c r="E46" s="445" t="s">
        <v>236</v>
      </c>
      <c r="F46" s="445"/>
      <c r="G46" s="445"/>
      <c r="H46" s="209"/>
      <c r="I46" s="210">
        <f>+J46*K46</f>
        <v>0</v>
      </c>
      <c r="J46" s="214">
        <f>25508/1000000</f>
        <v>2.5507999999999999E-2</v>
      </c>
      <c r="K46" s="215">
        <f>14.43*0</f>
        <v>0</v>
      </c>
      <c r="L46" s="347" t="s">
        <v>486</v>
      </c>
      <c r="M46" s="349"/>
    </row>
    <row r="47" spans="2:24" ht="13.5" thickBot="1" x14ac:dyDescent="0.35">
      <c r="M47" s="352">
        <f>SUM(M42:M46)</f>
        <v>23.810567884986764</v>
      </c>
    </row>
    <row r="48" spans="2:24" ht="30" customHeight="1" thickBot="1" x14ac:dyDescent="0.35">
      <c r="B48" s="191"/>
      <c r="C48" s="446" t="s">
        <v>88</v>
      </c>
      <c r="D48" s="446"/>
      <c r="E48" s="192"/>
      <c r="F48" s="192"/>
      <c r="G48" s="192"/>
      <c r="H48" s="192"/>
      <c r="I48" s="216"/>
      <c r="J48" s="193"/>
    </row>
    <row r="49" spans="2:10" ht="38" customHeight="1" x14ac:dyDescent="0.3">
      <c r="C49" s="217" t="s">
        <v>89</v>
      </c>
      <c r="D49" s="195">
        <f>SUMPRODUCT((LEFT(G21:G33, 5)="Jumbo") / (COUNTIF(G21:G33, G21:G33 &amp; "") + (G21:G33="")))</f>
        <v>2</v>
      </c>
      <c r="E49" s="447" t="s">
        <v>90</v>
      </c>
      <c r="F49" s="447"/>
      <c r="G49" s="218">
        <v>0.20833333333333334</v>
      </c>
      <c r="I49" s="139"/>
      <c r="J49" s="190"/>
    </row>
    <row r="50" spans="2:10" ht="38" customHeight="1" x14ac:dyDescent="0.3">
      <c r="E50" s="447" t="s">
        <v>93</v>
      </c>
      <c r="F50" s="447"/>
      <c r="G50" s="195">
        <f>15000/(60)</f>
        <v>250</v>
      </c>
      <c r="H50" s="219" t="s">
        <v>143</v>
      </c>
      <c r="I50" s="139"/>
      <c r="J50" s="190"/>
    </row>
    <row r="51" spans="2:10" ht="38" customHeight="1" x14ac:dyDescent="0.3">
      <c r="E51" s="448" t="s">
        <v>91</v>
      </c>
      <c r="F51" s="448"/>
      <c r="G51" s="207">
        <f>+SUM(SUMIF($G$21:$G$33, "Jumbo*", $J$21:$J$33))/SUMPRODUCT((LEFT(G21:G33, 5)="Jumbo") / (COUNTIF(G21:G33, G21:G33 &amp; "") + (G21:G33="")))</f>
        <v>0.13020833333333331</v>
      </c>
      <c r="H51" s="220">
        <f>+G51*24/($G$49*24)</f>
        <v>0.62499999999999989</v>
      </c>
      <c r="I51" s="190"/>
      <c r="J51" s="190"/>
    </row>
    <row r="52" spans="2:10" ht="38" customHeight="1" x14ac:dyDescent="0.3">
      <c r="E52" s="448" t="s">
        <v>92</v>
      </c>
      <c r="F52" s="448"/>
      <c r="G52" s="221">
        <f>+SUM(V21:V33)/D49</f>
        <v>152</v>
      </c>
      <c r="H52" s="220">
        <f>+G52/G50</f>
        <v>0.60799999999999998</v>
      </c>
      <c r="I52" s="190"/>
      <c r="J52" s="190"/>
    </row>
    <row r="53" spans="2:10" ht="38" customHeight="1" x14ac:dyDescent="0.3">
      <c r="G53" s="222" t="s">
        <v>87</v>
      </c>
      <c r="H53" s="139" t="s">
        <v>23</v>
      </c>
    </row>
    <row r="54" spans="2:10" ht="20" customHeight="1" x14ac:dyDescent="0.3">
      <c r="F54" s="208" t="s">
        <v>65</v>
      </c>
      <c r="G54" s="221">
        <f t="shared" ref="G54:G59" si="13" xml:space="preserve"> SUMIF($G$21:$G$33, +F54,$V$21:$V$33)</f>
        <v>0</v>
      </c>
      <c r="H54" s="220">
        <f t="shared" ref="H54:H59" si="14">+G54/$G$50</f>
        <v>0</v>
      </c>
    </row>
    <row r="55" spans="2:10" ht="20" customHeight="1" x14ac:dyDescent="0.3">
      <c r="F55" s="208" t="s">
        <v>66</v>
      </c>
      <c r="G55" s="221">
        <f t="shared" si="13"/>
        <v>0</v>
      </c>
      <c r="H55" s="220">
        <f t="shared" si="14"/>
        <v>0</v>
      </c>
    </row>
    <row r="56" spans="2:10" ht="20" customHeight="1" x14ac:dyDescent="0.3">
      <c r="F56" s="208" t="s">
        <v>67</v>
      </c>
      <c r="G56" s="221">
        <f t="shared" si="13"/>
        <v>0</v>
      </c>
      <c r="H56" s="220">
        <f t="shared" si="14"/>
        <v>0</v>
      </c>
    </row>
    <row r="57" spans="2:10" ht="20" customHeight="1" x14ac:dyDescent="0.3">
      <c r="F57" s="208" t="s">
        <v>68</v>
      </c>
      <c r="G57" s="221">
        <f t="shared" si="13"/>
        <v>0</v>
      </c>
      <c r="H57" s="220">
        <f t="shared" si="14"/>
        <v>0</v>
      </c>
    </row>
    <row r="58" spans="2:10" ht="20" customHeight="1" x14ac:dyDescent="0.3">
      <c r="F58" s="208" t="s">
        <v>69</v>
      </c>
      <c r="G58" s="221">
        <f t="shared" si="13"/>
        <v>0</v>
      </c>
      <c r="H58" s="220">
        <f t="shared" si="14"/>
        <v>0</v>
      </c>
    </row>
    <row r="59" spans="2:10" ht="20" customHeight="1" x14ac:dyDescent="0.3">
      <c r="F59" s="208" t="s">
        <v>70</v>
      </c>
      <c r="G59" s="221">
        <f t="shared" si="13"/>
        <v>0</v>
      </c>
      <c r="H59" s="220">
        <f t="shared" si="14"/>
        <v>0</v>
      </c>
    </row>
    <row r="60" spans="2:10" ht="20" customHeight="1" x14ac:dyDescent="0.3">
      <c r="F60" s="208" t="s">
        <v>146</v>
      </c>
      <c r="G60" s="223">
        <f>+SUM(G54:G59)</f>
        <v>0</v>
      </c>
      <c r="H60" s="220">
        <f>+G60/($G$50*$D$49)</f>
        <v>0</v>
      </c>
    </row>
    <row r="61" spans="2:10" ht="13.5" thickBot="1" x14ac:dyDescent="0.35"/>
    <row r="62" spans="2:10" ht="30" customHeight="1" thickBot="1" x14ac:dyDescent="0.35">
      <c r="B62" s="191"/>
      <c r="C62" s="446" t="s">
        <v>107</v>
      </c>
      <c r="D62" s="446"/>
      <c r="E62" s="192"/>
      <c r="F62" s="192"/>
      <c r="G62" s="192"/>
      <c r="H62" s="192"/>
      <c r="I62" s="216"/>
      <c r="J62" s="193"/>
    </row>
    <row r="63" spans="2:10" ht="38" customHeight="1" x14ac:dyDescent="0.3">
      <c r="C63" s="208" t="s">
        <v>95</v>
      </c>
      <c r="D63" s="195">
        <f>SUMPRODUCT((LEFT(G21:G33, 5)="Scoop") / (COUNTIF(G21:G33, G21:G33 &amp; "") + (G21:G33="")))</f>
        <v>0</v>
      </c>
      <c r="E63" s="447" t="s">
        <v>90</v>
      </c>
      <c r="F63" s="447"/>
      <c r="G63" s="218">
        <v>0.20833333333333334</v>
      </c>
      <c r="I63" s="139"/>
      <c r="J63" s="190"/>
    </row>
    <row r="64" spans="2:10" ht="38" customHeight="1" x14ac:dyDescent="0.3">
      <c r="C64" s="208" t="s">
        <v>145</v>
      </c>
      <c r="D64" s="195">
        <v>4.9000000000000004</v>
      </c>
      <c r="E64" s="447" t="s">
        <v>97</v>
      </c>
      <c r="F64" s="447"/>
      <c r="G64" s="195">
        <f>15000/(60)</f>
        <v>250</v>
      </c>
      <c r="H64" s="219" t="s">
        <v>23</v>
      </c>
      <c r="I64" s="139"/>
      <c r="J64" s="190"/>
    </row>
    <row r="65" spans="2:10" ht="38" customHeight="1" x14ac:dyDescent="0.3">
      <c r="E65" s="448" t="s">
        <v>98</v>
      </c>
      <c r="F65" s="448"/>
      <c r="G65" s="207" t="e">
        <f>+SUM(SUMIF($G$21:$G$33, "Scoop*", $J$21:$J$33))/SUMPRODUCT((LEFT(G21:G33, 5)="Scoop") / (COUNTIF(G21:G33, G21:G33 &amp; "") + (G21:G33="")))</f>
        <v>#DIV/0!</v>
      </c>
      <c r="H65" s="220" t="e">
        <f>+G65*24/($G$63*24)</f>
        <v>#DIV/0!</v>
      </c>
      <c r="I65" s="190"/>
      <c r="J65" s="190"/>
    </row>
    <row r="66" spans="2:10" ht="38" customHeight="1" x14ac:dyDescent="0.3">
      <c r="E66" s="448" t="s">
        <v>99</v>
      </c>
      <c r="F66" s="448"/>
      <c r="G66" s="221" t="e">
        <f>+SUM(W21:W33)*D64/D63</f>
        <v>#DIV/0!</v>
      </c>
      <c r="H66" s="220" t="e">
        <f>+G66/G64</f>
        <v>#DIV/0!</v>
      </c>
      <c r="I66" s="190"/>
      <c r="J66" s="190"/>
    </row>
    <row r="67" spans="2:10" ht="38" customHeight="1" x14ac:dyDescent="0.3">
      <c r="G67" s="222" t="s">
        <v>96</v>
      </c>
      <c r="H67" s="139" t="s">
        <v>23</v>
      </c>
    </row>
    <row r="68" spans="2:10" ht="20" customHeight="1" x14ac:dyDescent="0.3">
      <c r="F68" s="208" t="s">
        <v>71</v>
      </c>
      <c r="G68" s="221">
        <f t="shared" ref="G68:G73" si="15" xml:space="preserve"> SUMIF($G$21:$G$33, +F68,$W$21:$W$33)*$D$64</f>
        <v>0</v>
      </c>
      <c r="H68" s="220">
        <f>+G68/$G$64</f>
        <v>0</v>
      </c>
    </row>
    <row r="69" spans="2:10" ht="20" customHeight="1" x14ac:dyDescent="0.3">
      <c r="F69" s="208" t="s">
        <v>72</v>
      </c>
      <c r="G69" s="221">
        <f t="shared" si="15"/>
        <v>0</v>
      </c>
      <c r="H69" s="220">
        <f t="shared" ref="H69:H74" si="16">+G69/$G$64</f>
        <v>0</v>
      </c>
    </row>
    <row r="70" spans="2:10" ht="20" customHeight="1" x14ac:dyDescent="0.3">
      <c r="F70" s="208" t="s">
        <v>73</v>
      </c>
      <c r="G70" s="221">
        <f t="shared" si="15"/>
        <v>0</v>
      </c>
      <c r="H70" s="220">
        <f t="shared" si="16"/>
        <v>0</v>
      </c>
    </row>
    <row r="71" spans="2:10" ht="20" customHeight="1" x14ac:dyDescent="0.3">
      <c r="F71" s="208" t="s">
        <v>74</v>
      </c>
      <c r="G71" s="221">
        <f t="shared" si="15"/>
        <v>0</v>
      </c>
      <c r="H71" s="220">
        <f t="shared" si="16"/>
        <v>0</v>
      </c>
    </row>
    <row r="72" spans="2:10" ht="20" customHeight="1" x14ac:dyDescent="0.3">
      <c r="F72" s="208" t="s">
        <v>75</v>
      </c>
      <c r="G72" s="221">
        <f t="shared" si="15"/>
        <v>0</v>
      </c>
      <c r="H72" s="220">
        <f t="shared" si="16"/>
        <v>0</v>
      </c>
    </row>
    <row r="73" spans="2:10" ht="20" customHeight="1" x14ac:dyDescent="0.3">
      <c r="F73" s="208" t="s">
        <v>76</v>
      </c>
      <c r="G73" s="221">
        <f t="shared" si="15"/>
        <v>0</v>
      </c>
      <c r="H73" s="220">
        <f t="shared" si="16"/>
        <v>0</v>
      </c>
    </row>
    <row r="74" spans="2:10" ht="20" customHeight="1" x14ac:dyDescent="0.3">
      <c r="F74" s="208" t="s">
        <v>146</v>
      </c>
      <c r="G74" s="223">
        <f>+SUM(G68:G73)</f>
        <v>0</v>
      </c>
      <c r="H74" s="220">
        <f t="shared" si="16"/>
        <v>0</v>
      </c>
    </row>
    <row r="75" spans="2:10" ht="13.5" thickBot="1" x14ac:dyDescent="0.35"/>
    <row r="76" spans="2:10" ht="30" customHeight="1" thickBot="1" x14ac:dyDescent="0.35">
      <c r="B76" s="191"/>
      <c r="C76" s="446" t="s">
        <v>149</v>
      </c>
      <c r="D76" s="446"/>
      <c r="E76" s="192"/>
      <c r="F76" s="192"/>
      <c r="G76" s="192"/>
      <c r="H76" s="192"/>
      <c r="I76" s="216"/>
      <c r="J76" s="193"/>
    </row>
    <row r="77" spans="2:10" ht="25.25" customHeight="1" x14ac:dyDescent="0.3">
      <c r="C77" s="208" t="s">
        <v>150</v>
      </c>
      <c r="D77" s="195">
        <f>SUMPRODUCT((LEFT(G21:G33, 8)="Roboshot") / (COUNTIF(G21:G33, G21:G33 &amp; "") + (G21:G33="")))</f>
        <v>0</v>
      </c>
      <c r="E77" s="447" t="s">
        <v>90</v>
      </c>
      <c r="F77" s="447"/>
      <c r="G77" s="218">
        <v>0.20833333333333334</v>
      </c>
    </row>
    <row r="78" spans="2:10" x14ac:dyDescent="0.3">
      <c r="C78" s="208"/>
      <c r="D78" s="195"/>
      <c r="E78" s="447" t="s">
        <v>97</v>
      </c>
      <c r="F78" s="447"/>
      <c r="G78" s="195">
        <v>12</v>
      </c>
      <c r="H78" s="219" t="s">
        <v>23</v>
      </c>
    </row>
    <row r="80" spans="2:10" x14ac:dyDescent="0.3">
      <c r="G80" s="222" t="s">
        <v>96</v>
      </c>
      <c r="H80" s="139" t="s">
        <v>23</v>
      </c>
    </row>
    <row r="81" spans="6:8" x14ac:dyDescent="0.3">
      <c r="F81" s="208" t="s">
        <v>77</v>
      </c>
      <c r="G81" s="221">
        <f xml:space="preserve"> SUMIF($G$21:$G$33, +F81,$X$21:$X$33)</f>
        <v>0</v>
      </c>
      <c r="H81" s="220">
        <f>+G81/$G$78</f>
        <v>0</v>
      </c>
    </row>
    <row r="82" spans="6:8" x14ac:dyDescent="0.3">
      <c r="F82" s="208" t="s">
        <v>78</v>
      </c>
      <c r="G82" s="221">
        <f xml:space="preserve"> SUMIF($G$21:$G$33, +F82,$X$21:$X$33)</f>
        <v>0</v>
      </c>
      <c r="H82" s="220">
        <f t="shared" ref="H82:H83" si="17">+G82/$G$78</f>
        <v>0</v>
      </c>
    </row>
    <row r="83" spans="6:8" x14ac:dyDescent="0.3">
      <c r="F83" s="208" t="s">
        <v>79</v>
      </c>
      <c r="G83" s="221">
        <f xml:space="preserve"> SUMIF($G$21:$G$33, +F83,$X$21:$X$33)</f>
        <v>0</v>
      </c>
      <c r="H83" s="220">
        <f t="shared" si="17"/>
        <v>0</v>
      </c>
    </row>
    <row r="84" spans="6:8" x14ac:dyDescent="0.3">
      <c r="F84" s="208" t="s">
        <v>146</v>
      </c>
      <c r="G84" s="223">
        <f>+SUM(G81:G83)</f>
        <v>0</v>
      </c>
      <c r="H84" s="220">
        <f>+G84/$G$78</f>
        <v>0</v>
      </c>
    </row>
  </sheetData>
  <mergeCells count="36">
    <mergeCell ref="I36:J36"/>
    <mergeCell ref="K36:L36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  <mergeCell ref="E44:G44"/>
    <mergeCell ref="E45:G45"/>
    <mergeCell ref="E46:G46"/>
    <mergeCell ref="C36:D36"/>
    <mergeCell ref="G36:H36"/>
    <mergeCell ref="E37:F37"/>
    <mergeCell ref="E38:F38"/>
    <mergeCell ref="E39:F39"/>
    <mergeCell ref="E42:G42"/>
    <mergeCell ref="E43:G43"/>
    <mergeCell ref="C48:D48"/>
    <mergeCell ref="E49:F49"/>
    <mergeCell ref="E50:F50"/>
    <mergeCell ref="C76:D76"/>
    <mergeCell ref="E77:F77"/>
    <mergeCell ref="E51:F51"/>
    <mergeCell ref="E78:F78"/>
    <mergeCell ref="E52:F52"/>
    <mergeCell ref="C62:D62"/>
    <mergeCell ref="E63:F63"/>
    <mergeCell ref="E64:F64"/>
    <mergeCell ref="E65:F65"/>
    <mergeCell ref="E66:F66"/>
  </mergeCells>
  <conditionalFormatting sqref="H38:H39 J38:J39">
    <cfRule type="cellIs" dxfId="1070" priority="13" operator="greaterThan">
      <formula>0.9</formula>
    </cfRule>
    <cfRule type="cellIs" dxfId="1069" priority="14" operator="between">
      <formula>0.81</formula>
      <formula>0.89</formula>
    </cfRule>
    <cfRule type="cellIs" dxfId="1068" priority="15" operator="lessThan">
      <formula>0.8</formula>
    </cfRule>
  </conditionalFormatting>
  <conditionalFormatting sqref="H51:H52">
    <cfRule type="cellIs" dxfId="1067" priority="16" operator="greaterThan">
      <formula>0.9</formula>
    </cfRule>
    <cfRule type="cellIs" dxfId="1066" priority="17" operator="between">
      <formula>0.81</formula>
      <formula>0.89</formula>
    </cfRule>
    <cfRule type="cellIs" dxfId="1065" priority="18" operator="lessThan">
      <formula>0.8</formula>
    </cfRule>
  </conditionalFormatting>
  <conditionalFormatting sqref="H54:H60">
    <cfRule type="cellIs" dxfId="1064" priority="19" operator="greaterThan">
      <formula>0.9</formula>
    </cfRule>
    <cfRule type="cellIs" dxfId="1063" priority="20" operator="between">
      <formula>0.81</formula>
      <formula>0.89</formula>
    </cfRule>
    <cfRule type="cellIs" dxfId="1062" priority="21" operator="lessThan">
      <formula>0.8</formula>
    </cfRule>
  </conditionalFormatting>
  <conditionalFormatting sqref="H65:H66">
    <cfRule type="cellIs" dxfId="1061" priority="7" operator="greaterThan">
      <formula>0.9</formula>
    </cfRule>
    <cfRule type="cellIs" dxfId="1060" priority="8" operator="between">
      <formula>0.81</formula>
      <formula>0.89</formula>
    </cfRule>
    <cfRule type="cellIs" dxfId="1059" priority="9" operator="lessThan">
      <formula>0.8</formula>
    </cfRule>
  </conditionalFormatting>
  <conditionalFormatting sqref="H68:H74">
    <cfRule type="cellIs" dxfId="1058" priority="10" operator="greaterThan">
      <formula>0.9</formula>
    </cfRule>
    <cfRule type="cellIs" dxfId="1057" priority="11" operator="between">
      <formula>0.81</formula>
      <formula>0.89</formula>
    </cfRule>
    <cfRule type="cellIs" dxfId="1056" priority="12" operator="lessThan">
      <formula>0.8</formula>
    </cfRule>
  </conditionalFormatting>
  <conditionalFormatting sqref="H81:H84">
    <cfRule type="cellIs" dxfId="1055" priority="4" operator="greaterThan">
      <formula>0.9</formula>
    </cfRule>
    <cfRule type="cellIs" dxfId="1054" priority="5" operator="between">
      <formula>0.81</formula>
      <formula>0.89</formula>
    </cfRule>
    <cfRule type="cellIs" dxfId="1053" priority="6" operator="lessThan">
      <formula>0.8</formula>
    </cfRule>
  </conditionalFormatting>
  <conditionalFormatting sqref="L38:L39">
    <cfRule type="cellIs" dxfId="1052" priority="1" operator="greaterThan">
      <formula>0.9</formula>
    </cfRule>
    <cfRule type="cellIs" dxfId="1051" priority="2" operator="between">
      <formula>0.81</formula>
      <formula>0.89</formula>
    </cfRule>
    <cfRule type="cellIs" dxfId="1050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941AA4B4-9179-42B1-A318-A50A3E18036C}">
          <x14:formula1>
            <xm:f>Datos!$B$3:$B$8</xm:f>
          </x14:formula1>
          <xm:sqref>E21:E26 E29:E34</xm:sqref>
        </x14:dataValidation>
        <x14:dataValidation type="list" allowBlank="1" showInputMessage="1" showErrorMessage="1" xr:uid="{7238DDF8-B5C2-4D75-80A7-0DC47B43BE9C}">
          <x14:formula1>
            <xm:f>Datos!$D$3:$D$27</xm:f>
          </x14:formula1>
          <xm:sqref>F21:F26 F29:F34</xm:sqref>
        </x14:dataValidation>
        <x14:dataValidation type="list" allowBlank="1" showInputMessage="1" showErrorMessage="1" xr:uid="{9B495426-EDA0-483B-8465-142D9C74E3EA}">
          <x14:formula1>
            <xm:f>Datos!$W$3:$W$12</xm:f>
          </x14:formula1>
          <xm:sqref>L29:L34 L21:L26</xm:sqref>
        </x14:dataValidation>
        <x14:dataValidation type="list" allowBlank="1" showInputMessage="1" showErrorMessage="1" xr:uid="{9FFC9820-5E04-477C-9678-CF170EE3BD7D}">
          <x14:formula1>
            <xm:f>Datos!$F$3:$F$41</xm:f>
          </x14:formula1>
          <xm:sqref>G21:G26 G29:G34</xm:sqref>
        </x14:dataValidation>
        <x14:dataValidation type="list" allowBlank="1" showInputMessage="1" showErrorMessage="1" xr:uid="{846C0E38-2E74-473B-AB2E-9924CD387863}">
          <x14:formula1>
            <xm:f>Datos!$H$3:$H$34</xm:f>
          </x14:formula1>
          <xm:sqref>D23:D24 D21</xm:sqref>
        </x14:dataValidation>
        <x14:dataValidation type="list" allowBlank="1" showInputMessage="1" showErrorMessage="1" xr:uid="{8E5F54A4-71D8-4E44-A1D6-D65D78DC7D32}">
          <x14:formula1>
            <xm:f>Datos!$H$3:$H$26</xm:f>
          </x14:formula1>
          <xm:sqref>D25:D26 D31:D34</xm:sqref>
        </x14:dataValidation>
        <x14:dataValidation type="list" allowBlank="1" showInputMessage="1" showErrorMessage="1" xr:uid="{5A10A00C-92AF-4354-B36A-7959A117F815}">
          <x14:formula1>
            <xm:f>Datos!$H$3:$H$52</xm:f>
          </x14:formula1>
          <xm:sqref>D22 D29:D30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0498-738A-49D3-AC7E-F8C0997C705D}">
  <sheetPr>
    <pageSetUpPr fitToPage="1"/>
  </sheetPr>
  <dimension ref="B1:X84"/>
  <sheetViews>
    <sheetView showGridLines="0" topLeftCell="A19" zoomScale="85" zoomScaleNormal="85" zoomScaleSheetLayoutView="50" workbookViewId="0">
      <pane xSplit="3" ySplit="2" topLeftCell="D33" activePane="bottomRight" state="frozen"/>
      <selection activeCell="A19" sqref="A19"/>
      <selection pane="topRight" activeCell="D19" sqref="D19"/>
      <selection pane="bottomLeft" activeCell="A21" sqref="A21"/>
      <selection pane="bottomRight" activeCell="M48" sqref="M48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8.36328125" style="134" bestFit="1" customWidth="1"/>
    <col min="10" max="10" width="17.6328125" style="134" bestFit="1" customWidth="1"/>
    <col min="11" max="11" width="18.453125" style="134" bestFit="1" customWidth="1"/>
    <col min="12" max="12" width="18.6328125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+G38</f>
        <v>0.55555555555555547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+H39</f>
        <v>0.5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+G60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+G74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+G84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38" customHeight="1" x14ac:dyDescent="0.3">
      <c r="B21" s="172"/>
      <c r="C21" s="173" t="str">
        <f>+Datos!$R$2</f>
        <v>Ciclo Minero 10,0 x 7,2 m
Galería Inyección Principal</v>
      </c>
      <c r="D21" s="173" t="s">
        <v>104</v>
      </c>
      <c r="E21" s="172" t="s">
        <v>6</v>
      </c>
      <c r="F21" s="172" t="s">
        <v>165</v>
      </c>
      <c r="G21" s="172" t="s">
        <v>204</v>
      </c>
      <c r="H21" s="174">
        <v>0.4513888888888889</v>
      </c>
      <c r="I21" s="174">
        <v>0.6875</v>
      </c>
      <c r="J21" s="175">
        <f t="shared" ref="J21:J24" si="0">MOD(I21-H21, 1)</f>
        <v>0.2361111111111111</v>
      </c>
      <c r="K21" s="176">
        <v>54</v>
      </c>
      <c r="L21" s="177" t="s">
        <v>128</v>
      </c>
      <c r="M21" s="178" t="s">
        <v>162</v>
      </c>
      <c r="N21" s="179">
        <v>1</v>
      </c>
      <c r="O21" s="180"/>
      <c r="P21" s="181"/>
      <c r="Q21" s="174"/>
      <c r="R21" s="174"/>
      <c r="S21" s="175">
        <f>+MOD(R21-Q21,1)</f>
        <v>0</v>
      </c>
      <c r="U21" s="182">
        <f>+IFERROR(VLOOKUP(D21,Datos!$R$3:$T$19,3,FALSE), "0")</f>
        <v>0.22475755847119222</v>
      </c>
      <c r="V21" s="183" t="str">
        <f>IF(OR(D21="Perforación de Fortificación", D21="Perforación de Avance", D21="Perforación Desquinche"), K21*M21, "")</f>
        <v/>
      </c>
      <c r="W21" s="183">
        <f>IF(D21="Extracción de Marina Disparo",K21,"")</f>
        <v>54</v>
      </c>
      <c r="X21" s="183" t="str">
        <f>IF(OR(D21="Shotcrete", D21="Pre Shotcrete"), K21, "")</f>
        <v/>
      </c>
    </row>
    <row r="22" spans="2:24" ht="38" customHeight="1" x14ac:dyDescent="0.3">
      <c r="B22" s="172"/>
      <c r="C22" s="173" t="str">
        <f>+C21</f>
        <v>Ciclo Minero 10,0 x 7,2 m
Galería Inyección Principal</v>
      </c>
      <c r="D22" s="173" t="s">
        <v>56</v>
      </c>
      <c r="E22" s="172" t="s">
        <v>6</v>
      </c>
      <c r="F22" s="172" t="s">
        <v>165</v>
      </c>
      <c r="G22" s="172" t="s">
        <v>212</v>
      </c>
      <c r="H22" s="174">
        <v>0.70833333333333337</v>
      </c>
      <c r="I22" s="174">
        <v>0.75</v>
      </c>
      <c r="J22" s="175">
        <f t="shared" si="0"/>
        <v>4.166666666666663E-2</v>
      </c>
      <c r="K22" s="178"/>
      <c r="L22" s="177"/>
      <c r="M22" s="178"/>
      <c r="N22" s="179">
        <v>1</v>
      </c>
      <c r="O22" s="180"/>
      <c r="P22" s="181"/>
      <c r="Q22" s="174"/>
      <c r="R22" s="172"/>
      <c r="S22" s="175">
        <f t="shared" ref="S22:S26" si="1">+MOD(R22-Q22,1)</f>
        <v>0</v>
      </c>
      <c r="U22" s="182">
        <f>+IFERROR(VLOOKUP(D22,Datos!$R$3:$T$19,3,FALSE), "0")</f>
        <v>4.2783799201369072E-2</v>
      </c>
      <c r="V22" s="183" t="str">
        <f t="shared" ref="V22:V26" si="2">IF(OR(D22="Perforación de Fortificación", D22="Perforación de Avance", D22="Perforación Desquinche"), K22*M22, "")</f>
        <v/>
      </c>
      <c r="W22" s="183" t="str">
        <f t="shared" ref="W22:W26" si="3">IF(D22="Extracción de Marina Disparo",K22,"")</f>
        <v/>
      </c>
      <c r="X22" s="183" t="str">
        <f t="shared" ref="X22:X26" si="4">IF(OR(D22="Shotcrete", D22="Pre Shotcrete"), K22, "")</f>
        <v/>
      </c>
    </row>
    <row r="23" spans="2:24" ht="38" customHeight="1" x14ac:dyDescent="0.3">
      <c r="B23" s="172"/>
      <c r="C23" s="173" t="str">
        <f t="shared" ref="C23:C24" si="5">+C22</f>
        <v>Ciclo Minero 10,0 x 7,2 m
Galería Inyección Principal</v>
      </c>
      <c r="D23" s="173"/>
      <c r="E23" s="172"/>
      <c r="F23" s="172"/>
      <c r="G23" s="172"/>
      <c r="H23" s="174"/>
      <c r="I23" s="174"/>
      <c r="J23" s="175">
        <f t="shared" si="0"/>
        <v>0</v>
      </c>
      <c r="K23" s="178"/>
      <c r="L23" s="177"/>
      <c r="M23" s="178"/>
      <c r="N23" s="179">
        <v>0</v>
      </c>
      <c r="O23" s="180"/>
      <c r="P23" s="181"/>
      <c r="Q23" s="174"/>
      <c r="R23" s="174"/>
      <c r="S23" s="175">
        <f t="shared" si="1"/>
        <v>0</v>
      </c>
      <c r="U23" s="182" t="str">
        <f>+IFERROR(VLOOKUP(D23,Datos!$R$3:$T$19,3,FALSE), "0")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/>
      <c r="C24" s="173" t="str">
        <f t="shared" si="5"/>
        <v>Ciclo Minero 10,0 x 7,2 m
Galería Inyección Principal</v>
      </c>
      <c r="D24" s="173"/>
      <c r="E24" s="172"/>
      <c r="F24" s="172"/>
      <c r="G24" s="172"/>
      <c r="H24" s="174"/>
      <c r="I24" s="174"/>
      <c r="J24" s="175">
        <f t="shared" si="0"/>
        <v>0</v>
      </c>
      <c r="K24" s="178"/>
      <c r="L24" s="177"/>
      <c r="M24" s="178"/>
      <c r="N24" s="179">
        <v>0</v>
      </c>
      <c r="O24" s="180"/>
      <c r="P24" s="181"/>
      <c r="Q24" s="172"/>
      <c r="R24" s="172"/>
      <c r="S24" s="175">
        <f t="shared" si="1"/>
        <v>0</v>
      </c>
      <c r="U24" s="182" t="str">
        <f>+IFERROR(VLOOKUP(D24,Datos!$R$3:$T$19,3,FALSE), "0")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180"/>
      <c r="P25" s="181"/>
      <c r="Q25" s="172"/>
      <c r="R25" s="172"/>
      <c r="S25" s="175">
        <f t="shared" si="1"/>
        <v>0</v>
      </c>
      <c r="U25" s="182" t="str">
        <f>+IFERROR(VLOOKUP(D25,Datos!$R$3:$T$19,3,FALSE), "0")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>
        <f>SUM(J21:J25)</f>
        <v>0.27777777777777773</v>
      </c>
      <c r="K26" s="178"/>
      <c r="L26" s="177"/>
      <c r="M26" s="178"/>
      <c r="N26" s="179"/>
      <c r="O26" s="180"/>
      <c r="P26" s="172"/>
      <c r="Q26" s="172"/>
      <c r="R26" s="172"/>
      <c r="S26" s="175">
        <f t="shared" si="1"/>
        <v>0</v>
      </c>
      <c r="U26" s="184"/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/>
      <c r="C29" s="173" t="str">
        <f>+Datos!R23</f>
        <v>Ciclo Minero 5,2 x 5,6 m
Galería Acceso Portal de Servicio</v>
      </c>
      <c r="D29" s="173" t="s">
        <v>59</v>
      </c>
      <c r="E29" s="172" t="s">
        <v>6</v>
      </c>
      <c r="F29" s="172" t="s">
        <v>166</v>
      </c>
      <c r="G29" s="172" t="s">
        <v>213</v>
      </c>
      <c r="H29" s="174">
        <v>0.39583333333333331</v>
      </c>
      <c r="I29" s="174">
        <v>0.4375</v>
      </c>
      <c r="J29" s="175">
        <f t="shared" ref="J29:J33" si="6">MOD(I29-H29, 1)</f>
        <v>4.1666666666666685E-2</v>
      </c>
      <c r="K29" s="178"/>
      <c r="L29" s="177"/>
      <c r="M29" s="178">
        <v>0</v>
      </c>
      <c r="N29" s="179">
        <v>1</v>
      </c>
      <c r="O29" s="186"/>
      <c r="P29" s="181"/>
      <c r="Q29" s="174"/>
      <c r="R29" s="174"/>
      <c r="S29" s="175">
        <f>+MOD(R29-Q29,1)</f>
        <v>0</v>
      </c>
      <c r="U29" s="187">
        <f>+IFERROR(VLOOKUP(D29,Datos!$R$24:$T$40,3,FALSE), "0")*N29</f>
        <v>9.7751710654936444E-3</v>
      </c>
      <c r="V29" s="183" t="str">
        <f t="shared" ref="V29:V34" si="7">IF(OR(D29="Perforación de Fortificación", D29="Perforación de Avance", D29="Perforación Desquinche"), K29*M29, "")</f>
        <v/>
      </c>
      <c r="W29" s="183" t="str">
        <f>IF(D29="Extracción de Marina Disparo",K29,"")</f>
        <v/>
      </c>
      <c r="X29" s="183" t="str">
        <f t="shared" ref="X29:X34" si="8">IF(OR(D29="Shotcrete", D29="Pre Shotcrete"), K29, "")</f>
        <v/>
      </c>
    </row>
    <row r="30" spans="2:24" ht="53.4" customHeight="1" x14ac:dyDescent="0.3">
      <c r="B30" s="172"/>
      <c r="C30" s="173" t="str">
        <f>+C29</f>
        <v>Ciclo Minero 5,2 x 5,6 m
Galería Acceso Portal de Servicio</v>
      </c>
      <c r="D30" s="173" t="s">
        <v>52</v>
      </c>
      <c r="E30" s="172" t="s">
        <v>6</v>
      </c>
      <c r="F30" s="172" t="s">
        <v>166</v>
      </c>
      <c r="G30" s="172" t="s">
        <v>211</v>
      </c>
      <c r="H30" s="174">
        <v>0.4375</v>
      </c>
      <c r="I30" s="174">
        <v>0.5</v>
      </c>
      <c r="J30" s="175">
        <f t="shared" si="6"/>
        <v>6.25E-2</v>
      </c>
      <c r="K30" s="178">
        <v>24</v>
      </c>
      <c r="L30" s="177" t="s">
        <v>126</v>
      </c>
      <c r="M30" s="178">
        <v>0</v>
      </c>
      <c r="N30" s="179">
        <v>0</v>
      </c>
      <c r="O30" s="188" t="s">
        <v>255</v>
      </c>
      <c r="P30" s="172"/>
      <c r="Q30" s="172"/>
      <c r="R30" s="172"/>
      <c r="S30" s="175">
        <f t="shared" ref="S30:S34" si="9">+MOD(R30-Q30,1)</f>
        <v>0</v>
      </c>
      <c r="U30" s="187">
        <f>+IFERROR(VLOOKUP(D30,Datos!$R$24:$T$40,3,FALSE), "0")*N30</f>
        <v>0</v>
      </c>
      <c r="V30" s="183" t="str">
        <f t="shared" si="7"/>
        <v/>
      </c>
      <c r="W30" s="183" t="str">
        <f t="shared" ref="W30:W34" si="10">IF(D30="Extracción de Marina Disparo",K30,"")</f>
        <v/>
      </c>
      <c r="X30" s="183" t="str">
        <f t="shared" si="8"/>
        <v/>
      </c>
    </row>
    <row r="31" spans="2:24" ht="38" customHeight="1" x14ac:dyDescent="0.3">
      <c r="B31" s="172"/>
      <c r="C31" s="173" t="str">
        <f t="shared" ref="C31:C34" si="11">+C30</f>
        <v>Ciclo Minero 5,2 x 5,6 m
Galería Acceso Portal de Servicio</v>
      </c>
      <c r="D31" s="173" t="s">
        <v>63</v>
      </c>
      <c r="E31" s="172" t="s">
        <v>6</v>
      </c>
      <c r="F31" s="172" t="s">
        <v>166</v>
      </c>
      <c r="G31" s="172" t="s">
        <v>202</v>
      </c>
      <c r="H31" s="174">
        <v>0.59027777777777779</v>
      </c>
      <c r="I31" s="174">
        <v>0.76736111111111116</v>
      </c>
      <c r="J31" s="175">
        <f t="shared" si="6"/>
        <v>0.17708333333333337</v>
      </c>
      <c r="K31" s="178">
        <v>96</v>
      </c>
      <c r="L31" s="177" t="s">
        <v>138</v>
      </c>
      <c r="M31" s="178">
        <v>3.8</v>
      </c>
      <c r="N31" s="179">
        <f>96/112</f>
        <v>0.8571428571428571</v>
      </c>
      <c r="O31" s="188" t="s">
        <v>256</v>
      </c>
      <c r="P31" s="181"/>
      <c r="Q31" s="174"/>
      <c r="R31" s="174"/>
      <c r="S31" s="175">
        <f t="shared" si="9"/>
        <v>0</v>
      </c>
      <c r="U31" s="187">
        <f>+IFERROR(VLOOKUP(D31,Datos!$R$24:$T$40,3,FALSE), "0")*N31</f>
        <v>0.10808546292417259</v>
      </c>
      <c r="V31" s="183">
        <f t="shared" si="7"/>
        <v>364.79999999999995</v>
      </c>
      <c r="W31" s="183" t="str">
        <f t="shared" si="10"/>
        <v/>
      </c>
      <c r="X31" s="183" t="str">
        <f t="shared" si="8"/>
        <v/>
      </c>
    </row>
    <row r="32" spans="2:24" ht="38" customHeight="1" x14ac:dyDescent="0.3">
      <c r="B32" s="172"/>
      <c r="C32" s="173" t="str">
        <f t="shared" si="11"/>
        <v>Ciclo Minero 5,2 x 5,6 m
Galería Acceso Portal de Servicio</v>
      </c>
      <c r="D32" s="173"/>
      <c r="E32" s="172"/>
      <c r="F32" s="172"/>
      <c r="G32" s="172"/>
      <c r="H32" s="174"/>
      <c r="I32" s="174"/>
      <c r="J32" s="175">
        <f t="shared" si="6"/>
        <v>0</v>
      </c>
      <c r="K32" s="178"/>
      <c r="L32" s="177"/>
      <c r="M32" s="178"/>
      <c r="N32" s="179"/>
      <c r="O32" s="188"/>
      <c r="P32" s="173"/>
      <c r="Q32" s="172"/>
      <c r="R32" s="172"/>
      <c r="S32" s="175">
        <f t="shared" si="9"/>
        <v>0</v>
      </c>
      <c r="U32" s="187">
        <f>+IFERROR(VLOOKUP(D32,Datos!$R$24:$T$40,3,FALSE), "0")*N32</f>
        <v>0</v>
      </c>
      <c r="V32" s="183" t="str">
        <f t="shared" si="7"/>
        <v/>
      </c>
      <c r="W32" s="183" t="str">
        <f t="shared" si="10"/>
        <v/>
      </c>
      <c r="X32" s="183" t="str">
        <f t="shared" si="8"/>
        <v/>
      </c>
    </row>
    <row r="33" spans="2:24" ht="38" customHeight="1" x14ac:dyDescent="0.3">
      <c r="B33" s="172"/>
      <c r="C33" s="173" t="str">
        <f t="shared" si="11"/>
        <v>Ciclo Minero 5,2 x 5,6 m
Galería Acceso Portal de Servicio</v>
      </c>
      <c r="D33" s="173"/>
      <c r="E33" s="172"/>
      <c r="F33" s="172"/>
      <c r="G33" s="172"/>
      <c r="H33" s="174"/>
      <c r="I33" s="174"/>
      <c r="J33" s="175">
        <f t="shared" si="6"/>
        <v>0</v>
      </c>
      <c r="K33" s="178"/>
      <c r="L33" s="177"/>
      <c r="M33" s="178"/>
      <c r="N33" s="179">
        <v>1</v>
      </c>
      <c r="O33" s="188" t="s">
        <v>257</v>
      </c>
      <c r="P33" s="172"/>
      <c r="Q33" s="172"/>
      <c r="R33" s="172"/>
      <c r="S33" s="175">
        <f t="shared" si="9"/>
        <v>0</v>
      </c>
      <c r="U33" s="189">
        <f>+Datos!T36+Datos!T38</f>
        <v>8.015640273704791E-2</v>
      </c>
      <c r="V33" s="183" t="str">
        <f t="shared" si="7"/>
        <v/>
      </c>
      <c r="W33" s="183" t="str">
        <f t="shared" si="10"/>
        <v/>
      </c>
      <c r="X33" s="183" t="str">
        <f t="shared" si="8"/>
        <v/>
      </c>
    </row>
    <row r="34" spans="2:24" ht="38" customHeight="1" x14ac:dyDescent="0.3">
      <c r="B34" s="172"/>
      <c r="C34" s="173" t="str">
        <f t="shared" si="11"/>
        <v>Ciclo Minero 5,2 x 5,6 m
Galería Acceso Portal de Servicio</v>
      </c>
      <c r="D34" s="173"/>
      <c r="E34" s="172"/>
      <c r="F34" s="172"/>
      <c r="G34" s="172"/>
      <c r="H34" s="174"/>
      <c r="I34" s="172"/>
      <c r="J34" s="175">
        <f>SUM(J29:J33)</f>
        <v>0.28125000000000006</v>
      </c>
      <c r="K34" s="178"/>
      <c r="L34" s="177"/>
      <c r="M34" s="178"/>
      <c r="N34" s="179"/>
      <c r="O34" s="179"/>
      <c r="P34" s="172"/>
      <c r="Q34" s="172"/>
      <c r="R34" s="172"/>
      <c r="S34" s="175">
        <f t="shared" si="9"/>
        <v>0</v>
      </c>
      <c r="U34" s="184"/>
      <c r="V34" s="183" t="str">
        <f t="shared" si="7"/>
        <v/>
      </c>
      <c r="W34" s="183" t="str">
        <f t="shared" si="10"/>
        <v/>
      </c>
      <c r="X34" s="183" t="str">
        <f t="shared" si="8"/>
        <v/>
      </c>
    </row>
    <row r="35" spans="2:24" ht="15.65" customHeight="1" thickBot="1" x14ac:dyDescent="0.35">
      <c r="B35" s="190"/>
      <c r="C35" s="190"/>
      <c r="D35" s="190"/>
      <c r="E35" s="190"/>
      <c r="F35" s="190"/>
      <c r="G35" s="190"/>
      <c r="H35" s="190"/>
      <c r="J35" s="190"/>
      <c r="K35" s="190"/>
      <c r="L35" s="190"/>
      <c r="M35" s="190"/>
      <c r="N35" s="190"/>
      <c r="O35" s="190"/>
      <c r="P35" s="190"/>
      <c r="Q35" s="190"/>
      <c r="R35" s="190"/>
      <c r="S35" s="190"/>
    </row>
    <row r="36" spans="2:24" ht="30" customHeight="1" thickBot="1" x14ac:dyDescent="0.35">
      <c r="B36" s="191"/>
      <c r="C36" s="446" t="s">
        <v>64</v>
      </c>
      <c r="D36" s="446"/>
      <c r="E36" s="192"/>
      <c r="F36" s="192"/>
      <c r="G36" s="431">
        <v>3500</v>
      </c>
      <c r="H36" s="432"/>
      <c r="I36" s="431">
        <v>3700</v>
      </c>
      <c r="J36" s="432"/>
      <c r="K36" s="433" t="s">
        <v>146</v>
      </c>
      <c r="L36" s="434"/>
      <c r="M36" s="190"/>
      <c r="N36" s="190"/>
      <c r="O36" s="190"/>
      <c r="P36" s="190"/>
      <c r="Q36" s="190"/>
      <c r="R36" s="190"/>
      <c r="S36" s="190"/>
    </row>
    <row r="37" spans="2:24" ht="30" customHeight="1" x14ac:dyDescent="0.3">
      <c r="C37" s="194" t="s">
        <v>48</v>
      </c>
      <c r="D37" s="195">
        <f>SUMPRODUCT((LEFT(F21:F33, 1)="C") / (COUNTIF(F21:F33, F21:F33 &amp; "") + (F21:F33="")))</f>
        <v>0</v>
      </c>
      <c r="E37" s="447" t="s">
        <v>90</v>
      </c>
      <c r="F37" s="447"/>
      <c r="G37" s="196">
        <v>0.26041666666666669</v>
      </c>
      <c r="H37" s="197" t="s">
        <v>23</v>
      </c>
      <c r="I37" s="196">
        <v>0.26041666666666669</v>
      </c>
      <c r="J37" s="197" t="s">
        <v>23</v>
      </c>
      <c r="K37" s="198">
        <f>+G37</f>
        <v>0.26041666666666669</v>
      </c>
      <c r="L37" s="197" t="s">
        <v>23</v>
      </c>
      <c r="M37" s="190"/>
      <c r="N37" s="190"/>
      <c r="O37" s="190"/>
      <c r="P37" s="190"/>
      <c r="Q37" s="190"/>
      <c r="R37" s="190"/>
      <c r="S37" s="190"/>
    </row>
    <row r="38" spans="2:24" x14ac:dyDescent="0.3">
      <c r="C38" s="194" t="s">
        <v>49</v>
      </c>
      <c r="D38" s="195">
        <f>SUMPRODUCT((LEFT(F21:F33, 1)="O") / (COUNTIF(F21:F33, F21:F33 &amp; "") + (F21:F33="")))</f>
        <v>0</v>
      </c>
      <c r="E38" s="448" t="s">
        <v>198</v>
      </c>
      <c r="F38" s="448"/>
      <c r="G38" s="199">
        <f>SUM(J21:J26)</f>
        <v>0.55555555555555547</v>
      </c>
      <c r="H38" s="200">
        <f>+G38*24/($G$37*24)</f>
        <v>2.1333333333333333</v>
      </c>
      <c r="I38" s="199">
        <f>SUM(J29:J33)</f>
        <v>0.28125000000000006</v>
      </c>
      <c r="J38" s="200">
        <f>+I38*24/($I$37*24)</f>
        <v>1.0800000000000003</v>
      </c>
      <c r="K38" s="201">
        <f>AVERAGE(G38+I38)/2</f>
        <v>0.41840277777777779</v>
      </c>
      <c r="L38" s="200">
        <f>+K38*24/($K$37*24)</f>
        <v>1.6066666666666669</v>
      </c>
      <c r="M38" s="190"/>
      <c r="N38" s="190"/>
      <c r="O38" s="190"/>
      <c r="P38" s="190"/>
      <c r="Q38" s="190"/>
      <c r="R38" s="190"/>
      <c r="S38" s="190"/>
    </row>
    <row r="39" spans="2:24" ht="43.25" customHeight="1" thickBot="1" x14ac:dyDescent="0.35">
      <c r="E39" s="448" t="s">
        <v>94</v>
      </c>
      <c r="F39" s="448"/>
      <c r="G39" s="202"/>
      <c r="H39" s="203">
        <f>+AVERAGE(N21:N26)</f>
        <v>0.5</v>
      </c>
      <c r="I39" s="202"/>
      <c r="J39" s="203">
        <f>+AVERAGE(N29:N33)</f>
        <v>0.7142857142857143</v>
      </c>
      <c r="K39" s="204"/>
      <c r="L39" s="203">
        <f>+AVERAGE(N21:N33)</f>
        <v>0.60714285714285721</v>
      </c>
    </row>
    <row r="40" spans="2:24" ht="43.25" customHeight="1" x14ac:dyDescent="0.3">
      <c r="E40" s="205"/>
      <c r="F40" s="205"/>
      <c r="G40" s="206"/>
      <c r="H40" s="206"/>
      <c r="I40" s="137"/>
      <c r="J40" s="137"/>
      <c r="K40" s="137"/>
      <c r="L40" s="137"/>
    </row>
    <row r="41" spans="2:24" ht="43.25" customHeight="1" x14ac:dyDescent="0.3">
      <c r="E41" s="194"/>
      <c r="F41" s="194"/>
      <c r="G41" s="207"/>
      <c r="H41" s="208" t="s">
        <v>24</v>
      </c>
      <c r="I41" s="208" t="s">
        <v>199</v>
      </c>
      <c r="J41" s="208" t="s">
        <v>201</v>
      </c>
      <c r="K41" s="208" t="s">
        <v>258</v>
      </c>
      <c r="L41" s="345" t="s">
        <v>484</v>
      </c>
      <c r="M41" s="345" t="s">
        <v>485</v>
      </c>
      <c r="N41" s="208"/>
    </row>
    <row r="42" spans="2:24" ht="14.5" x14ac:dyDescent="0.35">
      <c r="E42" s="445" t="s">
        <v>174</v>
      </c>
      <c r="F42" s="445"/>
      <c r="G42" s="445"/>
      <c r="H42" s="209">
        <f>SUMPRODUCT(N29:N33 * U29:U33 * (N29:N33&lt;&gt;"") * (U29:U33&lt;&gt;""))</f>
        <v>0.1825762563089752</v>
      </c>
      <c r="I42" s="210">
        <f>+H42*$J$42*$K$42</f>
        <v>4.1211112574061879</v>
      </c>
      <c r="J42" s="211">
        <v>6.6</v>
      </c>
      <c r="K42" s="212">
        <v>3.42</v>
      </c>
      <c r="L42" s="344">
        <v>56.080975609756102</v>
      </c>
      <c r="M42" s="344">
        <f>+L42*K42*H42</f>
        <v>35.017566653286025</v>
      </c>
    </row>
    <row r="43" spans="2:24" ht="14.4" customHeight="1" x14ac:dyDescent="0.35">
      <c r="E43" s="445" t="s">
        <v>175</v>
      </c>
      <c r="F43" s="445"/>
      <c r="G43" s="445"/>
      <c r="H43" s="209">
        <f>+SUMPRODUCT(N21:N26 * U21:U26 * (N21:N26&lt;&gt;"") * (U21:U26&lt;&gt;""))</f>
        <v>0.26754135767256126</v>
      </c>
      <c r="I43" s="210">
        <f>+H43*$J$43*$K$43</f>
        <v>10.796899030233883</v>
      </c>
      <c r="J43" s="211">
        <v>11.8</v>
      </c>
      <c r="K43" s="212">
        <v>3.42</v>
      </c>
      <c r="L43" s="344">
        <v>118.52055555555555</v>
      </c>
      <c r="M43" s="344">
        <f>+L43*K43*H43</f>
        <v>108.44529418140327</v>
      </c>
    </row>
    <row r="44" spans="2:24" ht="14.4" customHeight="1" x14ac:dyDescent="0.35">
      <c r="E44" s="445" t="s">
        <v>224</v>
      </c>
      <c r="F44" s="445"/>
      <c r="G44" s="445"/>
      <c r="H44" s="209"/>
      <c r="I44" s="210">
        <f>+J44*K44</f>
        <v>6.7930368000000003</v>
      </c>
      <c r="J44" s="214">
        <f>1892/1000000</f>
        <v>1.892E-3</v>
      </c>
      <c r="K44" s="215">
        <f>+((15*4.4)*2.72)*20</f>
        <v>3590.4</v>
      </c>
      <c r="L44" s="346">
        <v>1.6919982016368774E-2</v>
      </c>
      <c r="M44" s="344">
        <f>+L44*K44</f>
        <v>60.749503431570446</v>
      </c>
    </row>
    <row r="45" spans="2:24" ht="14.4" customHeight="1" x14ac:dyDescent="0.35">
      <c r="E45" s="445" t="s">
        <v>225</v>
      </c>
      <c r="F45" s="445"/>
      <c r="G45" s="445"/>
      <c r="H45" s="209"/>
      <c r="I45" s="210">
        <f>+J45*K45</f>
        <v>0</v>
      </c>
      <c r="J45" s="214">
        <f>+J44</f>
        <v>1.892E-3</v>
      </c>
      <c r="K45" s="215">
        <f>+((15*2.8)*2.72)*0</f>
        <v>0</v>
      </c>
      <c r="L45" s="346">
        <v>1.6909997294111807E-2</v>
      </c>
      <c r="M45" s="344">
        <f>+L45*K45</f>
        <v>0</v>
      </c>
    </row>
    <row r="46" spans="2:24" ht="14.4" customHeight="1" x14ac:dyDescent="0.35">
      <c r="E46" s="445" t="s">
        <v>236</v>
      </c>
      <c r="F46" s="445"/>
      <c r="G46" s="445"/>
      <c r="H46" s="209"/>
      <c r="I46" s="210">
        <f>+J46*K46</f>
        <v>0</v>
      </c>
      <c r="J46" s="214">
        <f>25508/1000000</f>
        <v>2.5507999999999999E-2</v>
      </c>
      <c r="K46" s="215">
        <f>14.43*0</f>
        <v>0</v>
      </c>
      <c r="L46" s="347" t="s">
        <v>486</v>
      </c>
      <c r="M46" s="349"/>
    </row>
    <row r="47" spans="2:24" ht="13.5" thickBot="1" x14ac:dyDescent="0.35">
      <c r="M47" s="352">
        <f>SUM(M42:M46)</f>
        <v>204.21236426625975</v>
      </c>
    </row>
    <row r="48" spans="2:24" ht="30" customHeight="1" thickBot="1" x14ac:dyDescent="0.35">
      <c r="B48" s="191"/>
      <c r="C48" s="446" t="s">
        <v>88</v>
      </c>
      <c r="D48" s="446"/>
      <c r="E48" s="192"/>
      <c r="F48" s="192"/>
      <c r="G48" s="192"/>
      <c r="H48" s="192"/>
      <c r="I48" s="216"/>
      <c r="J48" s="193"/>
    </row>
    <row r="49" spans="2:10" ht="38" customHeight="1" x14ac:dyDescent="0.3">
      <c r="C49" s="217" t="s">
        <v>89</v>
      </c>
      <c r="D49" s="195">
        <f>SUMPRODUCT((LEFT(G21:G33, 5)="Jumbo") / (COUNTIF(G21:G33, G21:G33 &amp; "") + (G21:G33="")))</f>
        <v>1</v>
      </c>
      <c r="E49" s="447" t="s">
        <v>90</v>
      </c>
      <c r="F49" s="447"/>
      <c r="G49" s="218">
        <v>0.20833333333333334</v>
      </c>
      <c r="I49" s="139"/>
      <c r="J49" s="190"/>
    </row>
    <row r="50" spans="2:10" ht="38" customHeight="1" x14ac:dyDescent="0.3">
      <c r="E50" s="447" t="s">
        <v>93</v>
      </c>
      <c r="F50" s="447"/>
      <c r="G50" s="195">
        <f>15000/(60)</f>
        <v>250</v>
      </c>
      <c r="H50" s="219" t="s">
        <v>143</v>
      </c>
      <c r="I50" s="139"/>
      <c r="J50" s="190"/>
    </row>
    <row r="51" spans="2:10" ht="38" customHeight="1" x14ac:dyDescent="0.3">
      <c r="E51" s="448" t="s">
        <v>91</v>
      </c>
      <c r="F51" s="448"/>
      <c r="G51" s="207">
        <f>+SUM(SUMIF($G$21:$G$33, "Jumbo*", $J$21:$J$33))/SUMPRODUCT((LEFT(G21:G33, 5)="Jumbo") / (COUNTIF(G21:G33, G21:G33 &amp; "") + (G21:G33="")))</f>
        <v>0.17708333333333337</v>
      </c>
      <c r="H51" s="220">
        <f>+G51*24/($G$49*24)</f>
        <v>0.8500000000000002</v>
      </c>
      <c r="I51" s="190"/>
      <c r="J51" s="190"/>
    </row>
    <row r="52" spans="2:10" ht="38" customHeight="1" x14ac:dyDescent="0.3">
      <c r="E52" s="448" t="s">
        <v>92</v>
      </c>
      <c r="F52" s="448"/>
      <c r="G52" s="221">
        <f>+SUM(V21:V33)/D49</f>
        <v>364.79999999999995</v>
      </c>
      <c r="H52" s="220">
        <f>+G52/G50</f>
        <v>1.4591999999999998</v>
      </c>
      <c r="I52" s="190"/>
      <c r="J52" s="190"/>
    </row>
    <row r="53" spans="2:10" ht="38" customHeight="1" x14ac:dyDescent="0.3">
      <c r="G53" s="222" t="s">
        <v>87</v>
      </c>
      <c r="H53" s="139" t="s">
        <v>23</v>
      </c>
    </row>
    <row r="54" spans="2:10" ht="20" customHeight="1" x14ac:dyDescent="0.3">
      <c r="F54" s="208" t="s">
        <v>65</v>
      </c>
      <c r="G54" s="221">
        <f t="shared" ref="G54:G59" si="12" xml:space="preserve"> SUMIF($G$21:$G$33, +F54,$V$21:$V$33)</f>
        <v>0</v>
      </c>
      <c r="H54" s="220">
        <f t="shared" ref="H54:H59" si="13">+G54/$G$50</f>
        <v>0</v>
      </c>
    </row>
    <row r="55" spans="2:10" ht="20" customHeight="1" x14ac:dyDescent="0.3">
      <c r="F55" s="208" t="s">
        <v>66</v>
      </c>
      <c r="G55" s="221">
        <f t="shared" si="12"/>
        <v>0</v>
      </c>
      <c r="H55" s="220">
        <f t="shared" si="13"/>
        <v>0</v>
      </c>
    </row>
    <row r="56" spans="2:10" ht="20" customHeight="1" x14ac:dyDescent="0.3">
      <c r="F56" s="208" t="s">
        <v>67</v>
      </c>
      <c r="G56" s="221">
        <f t="shared" si="12"/>
        <v>0</v>
      </c>
      <c r="H56" s="220">
        <f t="shared" si="13"/>
        <v>0</v>
      </c>
    </row>
    <row r="57" spans="2:10" ht="20" customHeight="1" x14ac:dyDescent="0.3">
      <c r="F57" s="208" t="s">
        <v>68</v>
      </c>
      <c r="G57" s="221">
        <f t="shared" si="12"/>
        <v>0</v>
      </c>
      <c r="H57" s="220">
        <f t="shared" si="13"/>
        <v>0</v>
      </c>
    </row>
    <row r="58" spans="2:10" ht="20" customHeight="1" x14ac:dyDescent="0.3">
      <c r="F58" s="208" t="s">
        <v>69</v>
      </c>
      <c r="G58" s="221">
        <f t="shared" si="12"/>
        <v>0</v>
      </c>
      <c r="H58" s="220">
        <f t="shared" si="13"/>
        <v>0</v>
      </c>
    </row>
    <row r="59" spans="2:10" ht="20" customHeight="1" x14ac:dyDescent="0.3">
      <c r="F59" s="208" t="s">
        <v>70</v>
      </c>
      <c r="G59" s="221">
        <f t="shared" si="12"/>
        <v>0</v>
      </c>
      <c r="H59" s="220">
        <f t="shared" si="13"/>
        <v>0</v>
      </c>
    </row>
    <row r="60" spans="2:10" ht="20" customHeight="1" x14ac:dyDescent="0.3">
      <c r="F60" s="208" t="s">
        <v>146</v>
      </c>
      <c r="G60" s="223">
        <f>+SUM(G54:G59)</f>
        <v>0</v>
      </c>
      <c r="H60" s="220">
        <f>+G60/($G$50*$D$49)</f>
        <v>0</v>
      </c>
    </row>
    <row r="61" spans="2:10" ht="13.5" thickBot="1" x14ac:dyDescent="0.35"/>
    <row r="62" spans="2:10" ht="30" customHeight="1" thickBot="1" x14ac:dyDescent="0.35">
      <c r="B62" s="191"/>
      <c r="C62" s="446" t="s">
        <v>107</v>
      </c>
      <c r="D62" s="446"/>
      <c r="E62" s="192"/>
      <c r="F62" s="192"/>
      <c r="G62" s="192"/>
      <c r="H62" s="192"/>
      <c r="I62" s="216"/>
      <c r="J62" s="193"/>
    </row>
    <row r="63" spans="2:10" ht="38" customHeight="1" x14ac:dyDescent="0.3">
      <c r="C63" s="208" t="s">
        <v>95</v>
      </c>
      <c r="D63" s="195">
        <f>SUMPRODUCT((LEFT(G21:G33, 5)="Scoop") / (COUNTIF(G21:G33, G21:G33 &amp; "") + (G21:G33="")))</f>
        <v>1</v>
      </c>
      <c r="E63" s="447" t="s">
        <v>90</v>
      </c>
      <c r="F63" s="447"/>
      <c r="G63" s="218">
        <v>0.20833333333333334</v>
      </c>
      <c r="I63" s="139"/>
      <c r="J63" s="190"/>
    </row>
    <row r="64" spans="2:10" ht="38" customHeight="1" x14ac:dyDescent="0.3">
      <c r="C64" s="208" t="s">
        <v>145</v>
      </c>
      <c r="D64" s="195">
        <v>4.9000000000000004</v>
      </c>
      <c r="E64" s="447" t="s">
        <v>97</v>
      </c>
      <c r="F64" s="447"/>
      <c r="G64" s="195">
        <f>15000/(60)</f>
        <v>250</v>
      </c>
      <c r="H64" s="219" t="s">
        <v>23</v>
      </c>
      <c r="I64" s="139"/>
      <c r="J64" s="190"/>
    </row>
    <row r="65" spans="2:10" ht="38" customHeight="1" x14ac:dyDescent="0.3">
      <c r="E65" s="448" t="s">
        <v>98</v>
      </c>
      <c r="F65" s="448"/>
      <c r="G65" s="207">
        <f>+SUM(SUMIF($G$21:$G$33, "Scoop*", $J$21:$J$33))/SUMPRODUCT((LEFT(G21:G33, 5)="Scoop") / (COUNTIF(G21:G33, G21:G33 &amp; "") + (G21:G33="")))</f>
        <v>0.2361111111111111</v>
      </c>
      <c r="H65" s="220">
        <f>+G65*24/($G$63*24)</f>
        <v>1.1333333333333333</v>
      </c>
      <c r="I65" s="190"/>
      <c r="J65" s="190"/>
    </row>
    <row r="66" spans="2:10" ht="38" customHeight="1" x14ac:dyDescent="0.3">
      <c r="E66" s="448" t="s">
        <v>99</v>
      </c>
      <c r="F66" s="448"/>
      <c r="G66" s="221">
        <f>+SUM(W21:W33)*D64/D63</f>
        <v>264.60000000000002</v>
      </c>
      <c r="H66" s="220">
        <f>+G66/G64</f>
        <v>1.0584</v>
      </c>
      <c r="I66" s="190"/>
      <c r="J66" s="190"/>
    </row>
    <row r="67" spans="2:10" ht="38" customHeight="1" x14ac:dyDescent="0.3">
      <c r="G67" s="222" t="s">
        <v>96</v>
      </c>
      <c r="H67" s="139" t="s">
        <v>23</v>
      </c>
    </row>
    <row r="68" spans="2:10" ht="20" customHeight="1" x14ac:dyDescent="0.3">
      <c r="F68" s="208" t="s">
        <v>71</v>
      </c>
      <c r="G68" s="221">
        <f t="shared" ref="G68:G73" si="14" xml:space="preserve"> SUMIF($G$21:$G$33, +F68,$W$21:$W$33)*$D$64</f>
        <v>0</v>
      </c>
      <c r="H68" s="220">
        <f>+G68/$G$64</f>
        <v>0</v>
      </c>
    </row>
    <row r="69" spans="2:10" ht="20" customHeight="1" x14ac:dyDescent="0.3">
      <c r="F69" s="208" t="s">
        <v>72</v>
      </c>
      <c r="G69" s="221">
        <f t="shared" si="14"/>
        <v>0</v>
      </c>
      <c r="H69" s="220">
        <f t="shared" ref="H69:H74" si="15">+G69/$G$64</f>
        <v>0</v>
      </c>
    </row>
    <row r="70" spans="2:10" ht="20" customHeight="1" x14ac:dyDescent="0.3">
      <c r="F70" s="208" t="s">
        <v>73</v>
      </c>
      <c r="G70" s="221">
        <f t="shared" si="14"/>
        <v>0</v>
      </c>
      <c r="H70" s="220">
        <f t="shared" si="15"/>
        <v>0</v>
      </c>
    </row>
    <row r="71" spans="2:10" ht="20" customHeight="1" x14ac:dyDescent="0.3">
      <c r="F71" s="208" t="s">
        <v>74</v>
      </c>
      <c r="G71" s="221">
        <f t="shared" si="14"/>
        <v>0</v>
      </c>
      <c r="H71" s="220">
        <f t="shared" si="15"/>
        <v>0</v>
      </c>
    </row>
    <row r="72" spans="2:10" ht="20" customHeight="1" x14ac:dyDescent="0.3">
      <c r="F72" s="208" t="s">
        <v>75</v>
      </c>
      <c r="G72" s="221">
        <f t="shared" si="14"/>
        <v>0</v>
      </c>
      <c r="H72" s="220">
        <f t="shared" si="15"/>
        <v>0</v>
      </c>
    </row>
    <row r="73" spans="2:10" ht="20" customHeight="1" x14ac:dyDescent="0.3">
      <c r="F73" s="208" t="s">
        <v>76</v>
      </c>
      <c r="G73" s="221">
        <f t="shared" si="14"/>
        <v>0</v>
      </c>
      <c r="H73" s="220">
        <f t="shared" si="15"/>
        <v>0</v>
      </c>
    </row>
    <row r="74" spans="2:10" ht="20" customHeight="1" x14ac:dyDescent="0.3">
      <c r="F74" s="208" t="s">
        <v>146</v>
      </c>
      <c r="G74" s="223">
        <f>+SUM(G68:G73)</f>
        <v>0</v>
      </c>
      <c r="H74" s="220">
        <f t="shared" si="15"/>
        <v>0</v>
      </c>
    </row>
    <row r="75" spans="2:10" ht="13.5" thickBot="1" x14ac:dyDescent="0.35"/>
    <row r="76" spans="2:10" ht="30" customHeight="1" thickBot="1" x14ac:dyDescent="0.35">
      <c r="B76" s="191"/>
      <c r="C76" s="446" t="s">
        <v>149</v>
      </c>
      <c r="D76" s="446"/>
      <c r="E76" s="192"/>
      <c r="F76" s="192"/>
      <c r="G76" s="192"/>
      <c r="H76" s="192"/>
      <c r="I76" s="216"/>
      <c r="J76" s="193"/>
    </row>
    <row r="77" spans="2:10" ht="25.25" customHeight="1" x14ac:dyDescent="0.3">
      <c r="C77" s="208" t="s">
        <v>150</v>
      </c>
      <c r="D77" s="195">
        <f>SUMPRODUCT((LEFT(G21:G33, 8)="Roboshot") / (COUNTIF(G21:G33, G21:G33 &amp; "") + (G21:G33="")))</f>
        <v>0</v>
      </c>
      <c r="E77" s="447" t="s">
        <v>90</v>
      </c>
      <c r="F77" s="447"/>
      <c r="G77" s="218">
        <v>0.20833333333333334</v>
      </c>
    </row>
    <row r="78" spans="2:10" x14ac:dyDescent="0.3">
      <c r="C78" s="208"/>
      <c r="D78" s="195"/>
      <c r="E78" s="447" t="s">
        <v>97</v>
      </c>
      <c r="F78" s="447"/>
      <c r="G78" s="195">
        <v>12</v>
      </c>
      <c r="H78" s="219" t="s">
        <v>23</v>
      </c>
    </row>
    <row r="80" spans="2:10" x14ac:dyDescent="0.3">
      <c r="G80" s="222" t="s">
        <v>96</v>
      </c>
      <c r="H80" s="139" t="s">
        <v>23</v>
      </c>
    </row>
    <row r="81" spans="6:8" x14ac:dyDescent="0.3">
      <c r="F81" s="208" t="s">
        <v>77</v>
      </c>
      <c r="G81" s="221">
        <f xml:space="preserve"> SUMIF($G$21:$G$33, +F81,$X$21:$X$33)</f>
        <v>0</v>
      </c>
      <c r="H81" s="220">
        <f>+G81/$G$78</f>
        <v>0</v>
      </c>
    </row>
    <row r="82" spans="6:8" x14ac:dyDescent="0.3">
      <c r="F82" s="208" t="s">
        <v>78</v>
      </c>
      <c r="G82" s="221">
        <f xml:space="preserve"> SUMIF($G$21:$G$33, +F82,$X$21:$X$33)</f>
        <v>0</v>
      </c>
      <c r="H82" s="220">
        <f t="shared" ref="H82:H83" si="16">+G82/$G$78</f>
        <v>0</v>
      </c>
    </row>
    <row r="83" spans="6:8" x14ac:dyDescent="0.3">
      <c r="F83" s="208" t="s">
        <v>79</v>
      </c>
      <c r="G83" s="221">
        <f xml:space="preserve"> SUMIF($G$21:$G$33, +F83,$X$21:$X$33)</f>
        <v>0</v>
      </c>
      <c r="H83" s="220">
        <f t="shared" si="16"/>
        <v>0</v>
      </c>
    </row>
    <row r="84" spans="6:8" x14ac:dyDescent="0.3">
      <c r="F84" s="208" t="s">
        <v>146</v>
      </c>
      <c r="G84" s="223">
        <f>+SUM(G81:G83)</f>
        <v>0</v>
      </c>
      <c r="H84" s="220">
        <f>+G84/$G$78</f>
        <v>0</v>
      </c>
    </row>
  </sheetData>
  <mergeCells count="36">
    <mergeCell ref="I36:J36"/>
    <mergeCell ref="K36:L36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  <mergeCell ref="E44:G44"/>
    <mergeCell ref="E45:G45"/>
    <mergeCell ref="E46:G46"/>
    <mergeCell ref="C36:D36"/>
    <mergeCell ref="G36:H36"/>
    <mergeCell ref="E37:F37"/>
    <mergeCell ref="E38:F38"/>
    <mergeCell ref="E39:F39"/>
    <mergeCell ref="E42:G42"/>
    <mergeCell ref="E43:G43"/>
    <mergeCell ref="C48:D48"/>
    <mergeCell ref="E49:F49"/>
    <mergeCell ref="E50:F50"/>
    <mergeCell ref="C76:D76"/>
    <mergeCell ref="E77:F77"/>
    <mergeCell ref="E51:F51"/>
    <mergeCell ref="E78:F78"/>
    <mergeCell ref="E52:F52"/>
    <mergeCell ref="C62:D62"/>
    <mergeCell ref="E63:F63"/>
    <mergeCell ref="E64:F64"/>
    <mergeCell ref="E65:F65"/>
    <mergeCell ref="E66:F66"/>
  </mergeCells>
  <conditionalFormatting sqref="H38:H39 J38:J39">
    <cfRule type="cellIs" dxfId="1049" priority="13" operator="greaterThan">
      <formula>0.9</formula>
    </cfRule>
    <cfRule type="cellIs" dxfId="1048" priority="14" operator="between">
      <formula>0.81</formula>
      <formula>0.89</formula>
    </cfRule>
    <cfRule type="cellIs" dxfId="1047" priority="15" operator="lessThan">
      <formula>0.8</formula>
    </cfRule>
  </conditionalFormatting>
  <conditionalFormatting sqref="H51:H52">
    <cfRule type="cellIs" dxfId="1046" priority="16" operator="greaterThan">
      <formula>0.9</formula>
    </cfRule>
    <cfRule type="cellIs" dxfId="1045" priority="17" operator="between">
      <formula>0.81</formula>
      <formula>0.89</formula>
    </cfRule>
    <cfRule type="cellIs" dxfId="1044" priority="18" operator="lessThan">
      <formula>0.8</formula>
    </cfRule>
  </conditionalFormatting>
  <conditionalFormatting sqref="H54:H60">
    <cfRule type="cellIs" dxfId="1043" priority="19" operator="greaterThan">
      <formula>0.9</formula>
    </cfRule>
    <cfRule type="cellIs" dxfId="1042" priority="20" operator="between">
      <formula>0.81</formula>
      <formula>0.89</formula>
    </cfRule>
    <cfRule type="cellIs" dxfId="1041" priority="21" operator="lessThan">
      <formula>0.8</formula>
    </cfRule>
  </conditionalFormatting>
  <conditionalFormatting sqref="H65:H66">
    <cfRule type="cellIs" dxfId="1040" priority="7" operator="greaterThan">
      <formula>0.9</formula>
    </cfRule>
    <cfRule type="cellIs" dxfId="1039" priority="8" operator="between">
      <formula>0.81</formula>
      <formula>0.89</formula>
    </cfRule>
    <cfRule type="cellIs" dxfId="1038" priority="9" operator="lessThan">
      <formula>0.8</formula>
    </cfRule>
  </conditionalFormatting>
  <conditionalFormatting sqref="H68:H74">
    <cfRule type="cellIs" dxfId="1037" priority="10" operator="greaterThan">
      <formula>0.9</formula>
    </cfRule>
    <cfRule type="cellIs" dxfId="1036" priority="11" operator="between">
      <formula>0.81</formula>
      <formula>0.89</formula>
    </cfRule>
    <cfRule type="cellIs" dxfId="1035" priority="12" operator="lessThan">
      <formula>0.8</formula>
    </cfRule>
  </conditionalFormatting>
  <conditionalFormatting sqref="H81:H84">
    <cfRule type="cellIs" dxfId="1034" priority="4" operator="greaterThan">
      <formula>0.9</formula>
    </cfRule>
    <cfRule type="cellIs" dxfId="1033" priority="5" operator="between">
      <formula>0.81</formula>
      <formula>0.89</formula>
    </cfRule>
    <cfRule type="cellIs" dxfId="1032" priority="6" operator="lessThan">
      <formula>0.8</formula>
    </cfRule>
  </conditionalFormatting>
  <conditionalFormatting sqref="L38:L39">
    <cfRule type="cellIs" dxfId="1031" priority="1" operator="greaterThan">
      <formula>0.9</formula>
    </cfRule>
    <cfRule type="cellIs" dxfId="1030" priority="2" operator="between">
      <formula>0.81</formula>
      <formula>0.89</formula>
    </cfRule>
    <cfRule type="cellIs" dxfId="1029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C612F4D-44B3-4219-A55A-B8D5C0B5599D}">
          <x14:formula1>
            <xm:f>Datos!$B$3:$B$8</xm:f>
          </x14:formula1>
          <xm:sqref>E29:E34 E21:E26</xm:sqref>
        </x14:dataValidation>
        <x14:dataValidation type="list" allowBlank="1" showInputMessage="1" showErrorMessage="1" xr:uid="{275824D7-1BC5-4108-AAF0-38B20098EE69}">
          <x14:formula1>
            <xm:f>Datos!$D$3:$D$27</xm:f>
          </x14:formula1>
          <xm:sqref>F29:F34 F21:F26</xm:sqref>
        </x14:dataValidation>
        <x14:dataValidation type="list" allowBlank="1" showInputMessage="1" showErrorMessage="1" xr:uid="{8167ABC0-A5F0-4612-A1C9-0A1FFE00C0D6}">
          <x14:formula1>
            <xm:f>Datos!$W$3:$W$12</xm:f>
          </x14:formula1>
          <xm:sqref>L21:L26 L29:L34</xm:sqref>
        </x14:dataValidation>
        <x14:dataValidation type="list" allowBlank="1" showInputMessage="1" showErrorMessage="1" xr:uid="{B5E742E4-A7A0-41A5-9165-9A8BF5AFBD45}">
          <x14:formula1>
            <xm:f>Datos!$F$3:$F$41</xm:f>
          </x14:formula1>
          <xm:sqref>G21:G26 G29:G34</xm:sqref>
        </x14:dataValidation>
        <x14:dataValidation type="list" allowBlank="1" showInputMessage="1" showErrorMessage="1" xr:uid="{414344BE-43B0-455F-A7DC-F626B2F6C573}">
          <x14:formula1>
            <xm:f>Datos!$H$3:$H$34</xm:f>
          </x14:formula1>
          <xm:sqref>D23:D24</xm:sqref>
        </x14:dataValidation>
        <x14:dataValidation type="list" allowBlank="1" showInputMessage="1" showErrorMessage="1" xr:uid="{9DF4C310-2A7E-468A-BA54-26BAF24BF550}">
          <x14:formula1>
            <xm:f>Datos!$H$3:$H$26</xm:f>
          </x14:formula1>
          <xm:sqref>D29 D25:D26 D21 D32:D34</xm:sqref>
        </x14:dataValidation>
        <x14:dataValidation type="list" allowBlank="1" showInputMessage="1" showErrorMessage="1" xr:uid="{1E055A47-1C90-4599-80EE-82ED5C7EE2CE}">
          <x14:formula1>
            <xm:f>Datos!$H$3:$H$52</xm:f>
          </x14:formula1>
          <xm:sqref>D30:D31 D22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10CD-8E1D-4277-B010-F4CC2E4E4733}">
  <sheetPr>
    <pageSetUpPr fitToPage="1"/>
  </sheetPr>
  <dimension ref="B1:X85"/>
  <sheetViews>
    <sheetView showGridLines="0" topLeftCell="A19" zoomScale="85" zoomScaleNormal="85" zoomScaleSheetLayoutView="50" workbookViewId="0">
      <pane xSplit="3" ySplit="2" topLeftCell="D31" activePane="bottomRight" state="frozen"/>
      <selection activeCell="A19" sqref="A19"/>
      <selection pane="topRight" activeCell="D19" sqref="D19"/>
      <selection pane="bottomLeft" activeCell="A21" sqref="A21"/>
      <selection pane="bottomRight" activeCell="M49" sqref="M49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8.36328125" style="134" bestFit="1" customWidth="1"/>
    <col min="10" max="10" width="17.6328125" style="134" bestFit="1" customWidth="1"/>
    <col min="11" max="11" width="18.453125" style="134" bestFit="1" customWidth="1"/>
    <col min="12" max="12" width="18.453125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+G39</f>
        <v>0.77083333333333326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+H40</f>
        <v>0.8362068965517242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+G75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+G85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38" customHeight="1" x14ac:dyDescent="0.3">
      <c r="B21" s="172"/>
      <c r="C21" s="173" t="str">
        <f>+Datos!$R$2</f>
        <v>Ciclo Minero 10,0 x 7,2 m
Galería Inyección Principal</v>
      </c>
      <c r="D21" s="173" t="s">
        <v>59</v>
      </c>
      <c r="E21" s="172" t="s">
        <v>6</v>
      </c>
      <c r="F21" s="172" t="s">
        <v>165</v>
      </c>
      <c r="G21" s="172" t="s">
        <v>213</v>
      </c>
      <c r="H21" s="174">
        <v>0.90972222222222221</v>
      </c>
      <c r="I21" s="174">
        <v>0.9375</v>
      </c>
      <c r="J21" s="175">
        <f t="shared" ref="J21:J24" si="0">MOD(I21-H21, 1)</f>
        <v>2.777777777777779E-2</v>
      </c>
      <c r="K21" s="176"/>
      <c r="L21" s="177"/>
      <c r="M21" s="178" t="s">
        <v>162</v>
      </c>
      <c r="N21" s="179">
        <v>1</v>
      </c>
      <c r="O21" s="186" t="s">
        <v>262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5.7045065601825425E-3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/>
      <c r="C22" s="173" t="str">
        <f>+C21</f>
        <v>Ciclo Minero 10,0 x 7,2 m
Galería Inyección Principal</v>
      </c>
      <c r="D22" s="173" t="s">
        <v>173</v>
      </c>
      <c r="E22" s="172" t="s">
        <v>6</v>
      </c>
      <c r="F22" s="172" t="s">
        <v>165</v>
      </c>
      <c r="G22" s="172"/>
      <c r="H22" s="174">
        <v>0.92361111111111116</v>
      </c>
      <c r="I22" s="174">
        <v>0.97916666666666663</v>
      </c>
      <c r="J22" s="175">
        <f t="shared" si="0"/>
        <v>5.5555555555555469E-2</v>
      </c>
      <c r="K22" s="178"/>
      <c r="L22" s="177"/>
      <c r="M22" s="178"/>
      <c r="N22" s="179">
        <v>1</v>
      </c>
      <c r="O22" s="225"/>
      <c r="P22" s="181"/>
      <c r="Q22" s="174"/>
      <c r="R22" s="172"/>
      <c r="S22" s="175">
        <f t="shared" ref="S22:S26" si="1">+MOD(R22-Q22,1)</f>
        <v>0</v>
      </c>
      <c r="U22" s="182">
        <f>+IFERROR(VLOOKUP(D22,Datos!$R$3:$T$19,3,FALSE), "0")*N22</f>
        <v>3.4227039361095259E-2</v>
      </c>
      <c r="V22" s="183" t="str">
        <f t="shared" ref="V22:V26" si="2">IF(OR(D22="Perforación de Fortificación", D22="Perforación de Avance", D22="Perforación Desquinche"), K22*M22, "")</f>
        <v/>
      </c>
      <c r="W22" s="183" t="str">
        <f t="shared" ref="W22:W26" si="3">IF(D22="Extracción de Marina Disparo",K22,"")</f>
        <v/>
      </c>
      <c r="X22" s="183" t="str">
        <f t="shared" ref="X22:X26" si="4">IF(OR(D22="Shotcrete", D22="Pre Shotcrete"), K22, "")</f>
        <v/>
      </c>
    </row>
    <row r="23" spans="2:24" ht="38" customHeight="1" x14ac:dyDescent="0.3">
      <c r="B23" s="172"/>
      <c r="C23" s="173" t="str">
        <f t="shared" ref="C23:C24" si="5">+C22</f>
        <v>Ciclo Minero 10,0 x 7,2 m
Galería Inyección Principal</v>
      </c>
      <c r="D23" s="173" t="s">
        <v>57</v>
      </c>
      <c r="E23" s="172" t="s">
        <v>6</v>
      </c>
      <c r="F23" s="172" t="s">
        <v>165</v>
      </c>
      <c r="G23" s="172" t="s">
        <v>203</v>
      </c>
      <c r="H23" s="174">
        <v>0.95833333333333337</v>
      </c>
      <c r="I23" s="174">
        <v>0.14583333333333334</v>
      </c>
      <c r="J23" s="175">
        <f t="shared" si="0"/>
        <v>0.1875</v>
      </c>
      <c r="K23" s="178">
        <v>58</v>
      </c>
      <c r="L23" s="177" t="s">
        <v>138</v>
      </c>
      <c r="M23" s="178">
        <v>4</v>
      </c>
      <c r="N23" s="179">
        <v>1</v>
      </c>
      <c r="O23" s="186" t="s">
        <v>263</v>
      </c>
      <c r="P23" s="181"/>
      <c r="Q23" s="174"/>
      <c r="R23" s="174"/>
      <c r="S23" s="175">
        <f t="shared" si="1"/>
        <v>0</v>
      </c>
      <c r="U23" s="182">
        <f>+IFERROR(VLOOKUP(D23,Datos!$R$3:$T$19,3,FALSE), "0")*N23</f>
        <v>8.6138049058756397E-2</v>
      </c>
      <c r="V23" s="183">
        <f t="shared" si="2"/>
        <v>232</v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/>
      <c r="C24" s="173" t="str">
        <f t="shared" si="5"/>
        <v>Ciclo Minero 10,0 x 7,2 m
Galería Inyección Principal</v>
      </c>
      <c r="D24" s="173" t="s">
        <v>54</v>
      </c>
      <c r="E24" s="172" t="s">
        <v>6</v>
      </c>
      <c r="F24" s="172" t="s">
        <v>165</v>
      </c>
      <c r="G24" s="172" t="s">
        <v>212</v>
      </c>
      <c r="H24" s="174">
        <v>0.14583333333333334</v>
      </c>
      <c r="I24" s="174">
        <v>0.26041666666666669</v>
      </c>
      <c r="J24" s="175">
        <f t="shared" si="0"/>
        <v>0.11458333333333334</v>
      </c>
      <c r="K24" s="178">
        <v>20</v>
      </c>
      <c r="L24" s="177" t="s">
        <v>125</v>
      </c>
      <c r="M24" s="178">
        <v>4</v>
      </c>
      <c r="N24" s="179">
        <f>20/58</f>
        <v>0.34482758620689657</v>
      </c>
      <c r="O24" s="225" t="s">
        <v>264</v>
      </c>
      <c r="P24" s="181"/>
      <c r="Q24" s="172"/>
      <c r="R24" s="172"/>
      <c r="S24" s="175">
        <f t="shared" si="1"/>
        <v>0</v>
      </c>
      <c r="U24" s="182">
        <f>+IFERROR(VLOOKUP(D24,Datos!$R$3:$T$19,3,FALSE), "0")*N24</f>
        <v>6.1372622302653577E-2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225"/>
      <c r="P25" s="181"/>
      <c r="Q25" s="172"/>
      <c r="R25" s="172"/>
      <c r="S25" s="175">
        <f t="shared" si="1"/>
        <v>0</v>
      </c>
      <c r="U25" s="182" t="str">
        <f>+IFERROR(VLOOKUP(D25,Datos!$R$3:$T$19,3,FALSE), "0")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>
        <f>SUM(J21:J25)</f>
        <v>0.38541666666666663</v>
      </c>
      <c r="K26" s="178"/>
      <c r="L26" s="177"/>
      <c r="M26" s="178"/>
      <c r="N26" s="179"/>
      <c r="O26" s="225"/>
      <c r="P26" s="172"/>
      <c r="Q26" s="172"/>
      <c r="R26" s="172"/>
      <c r="S26" s="175">
        <f t="shared" si="1"/>
        <v>0</v>
      </c>
      <c r="U26" s="184"/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/>
      <c r="C29" s="173" t="str">
        <f>+Datos!R23</f>
        <v>Ciclo Minero 5,2 x 5,6 m
Galería Acceso Portal de Servicio</v>
      </c>
      <c r="D29" s="173" t="s">
        <v>63</v>
      </c>
      <c r="E29" s="172" t="s">
        <v>6</v>
      </c>
      <c r="F29" s="172" t="s">
        <v>166</v>
      </c>
      <c r="G29" s="172" t="s">
        <v>202</v>
      </c>
      <c r="H29" s="174">
        <v>0.89583333333333337</v>
      </c>
      <c r="I29" s="174">
        <v>0.9375</v>
      </c>
      <c r="J29" s="175">
        <f t="shared" ref="J29:J33" si="6">MOD(I29-H29, 1)</f>
        <v>4.166666666666663E-2</v>
      </c>
      <c r="K29" s="178">
        <v>6</v>
      </c>
      <c r="L29" s="177" t="s">
        <v>138</v>
      </c>
      <c r="M29" s="178">
        <v>3.8</v>
      </c>
      <c r="N29" s="179">
        <v>0.14000000000000001</v>
      </c>
      <c r="O29" s="188" t="s">
        <v>259</v>
      </c>
      <c r="P29" s="181"/>
      <c r="Q29" s="174"/>
      <c r="R29" s="174"/>
      <c r="S29" s="175">
        <f>+MOD(R29-Q29,1)</f>
        <v>0</v>
      </c>
      <c r="U29" s="187">
        <f>+IFERROR(VLOOKUP(D29,Datos!$R$24:$T$40,3,FALSE), "0")*N29</f>
        <v>1.7653958944281525E-2</v>
      </c>
      <c r="V29" s="183">
        <f t="shared" ref="V29:V35" si="7">IF(OR(D29="Perforación de Fortificación", D29="Perforación de Avance", D29="Perforación Desquinche"), K29*M29, "")</f>
        <v>22.799999999999997</v>
      </c>
      <c r="W29" s="183" t="str">
        <f>IF(D29="Extracción de Marina Disparo",K29,"")</f>
        <v/>
      </c>
      <c r="X29" s="183" t="str">
        <f t="shared" ref="X29:X35" si="8">IF(OR(D29="Shotcrete", D29="Pre Shotcrete"), K29, "")</f>
        <v/>
      </c>
    </row>
    <row r="30" spans="2:24" ht="53.4" customHeight="1" x14ac:dyDescent="0.3">
      <c r="B30" s="172"/>
      <c r="C30" s="173" t="str">
        <f>+C29</f>
        <v>Ciclo Minero 5,2 x 5,6 m
Galería Acceso Portal de Servicio</v>
      </c>
      <c r="D30" s="173" t="s">
        <v>56</v>
      </c>
      <c r="E30" s="172" t="s">
        <v>6</v>
      </c>
      <c r="F30" s="172" t="s">
        <v>166</v>
      </c>
      <c r="G30" s="172" t="s">
        <v>211</v>
      </c>
      <c r="H30" s="174">
        <v>0.9375</v>
      </c>
      <c r="I30" s="174">
        <v>0.95833333333333337</v>
      </c>
      <c r="J30" s="175">
        <f t="shared" si="6"/>
        <v>2.083333333333337E-2</v>
      </c>
      <c r="K30" s="178"/>
      <c r="L30" s="177"/>
      <c r="M30" s="178"/>
      <c r="N30" s="179">
        <v>0</v>
      </c>
      <c r="O30" s="188" t="s">
        <v>260</v>
      </c>
      <c r="P30" s="172"/>
      <c r="Q30" s="172"/>
      <c r="R30" s="172"/>
      <c r="S30" s="175">
        <f t="shared" ref="S30:S35" si="9">+MOD(R30-Q30,1)</f>
        <v>0</v>
      </c>
      <c r="U30" s="187">
        <f>+IFERROR(VLOOKUP(D30,Datos!$R$24:$T$40,3,FALSE), "0")*N30</f>
        <v>0</v>
      </c>
      <c r="V30" s="183" t="str">
        <f t="shared" si="7"/>
        <v/>
      </c>
      <c r="W30" s="183" t="str">
        <f t="shared" ref="W30:W35" si="10">IF(D30="Extracción de Marina Disparo",K30,"")</f>
        <v/>
      </c>
      <c r="X30" s="183" t="str">
        <f t="shared" si="8"/>
        <v/>
      </c>
    </row>
    <row r="31" spans="2:24" ht="38" customHeight="1" x14ac:dyDescent="0.3">
      <c r="B31" s="172"/>
      <c r="C31" s="173" t="str">
        <f t="shared" ref="C31:C33" si="11">+C30</f>
        <v>Ciclo Minero 5,2 x 5,6 m
Galería Acceso Portal de Servicio</v>
      </c>
      <c r="D31" s="173" t="s">
        <v>59</v>
      </c>
      <c r="E31" s="172" t="s">
        <v>6</v>
      </c>
      <c r="F31" s="172" t="s">
        <v>166</v>
      </c>
      <c r="G31" s="172" t="s">
        <v>213</v>
      </c>
      <c r="H31" s="174">
        <v>0.95833333333333337</v>
      </c>
      <c r="I31" s="174">
        <v>0.97916666666666663</v>
      </c>
      <c r="J31" s="175">
        <f t="shared" si="6"/>
        <v>2.0833333333333259E-2</v>
      </c>
      <c r="K31" s="178"/>
      <c r="L31" s="177"/>
      <c r="M31" s="178"/>
      <c r="N31" s="179">
        <v>0</v>
      </c>
      <c r="O31" s="188" t="s">
        <v>260</v>
      </c>
      <c r="P31" s="181"/>
      <c r="Q31" s="174"/>
      <c r="R31" s="174"/>
      <c r="S31" s="175">
        <f t="shared" si="9"/>
        <v>0</v>
      </c>
      <c r="U31" s="187">
        <f>+IFERROR(VLOOKUP(D31,Datos!$R$24:$T$40,3,FALSE), "0")*N31</f>
        <v>0</v>
      </c>
      <c r="V31" s="183" t="str">
        <f t="shared" si="7"/>
        <v/>
      </c>
      <c r="W31" s="183" t="str">
        <f t="shared" si="10"/>
        <v/>
      </c>
      <c r="X31" s="183" t="str">
        <f t="shared" si="8"/>
        <v/>
      </c>
    </row>
    <row r="32" spans="2:24" ht="38" customHeight="1" x14ac:dyDescent="0.3">
      <c r="B32" s="172"/>
      <c r="C32" s="173" t="str">
        <f t="shared" si="11"/>
        <v>Ciclo Minero 5,2 x 5,6 m
Galería Acceso Portal de Servicio</v>
      </c>
      <c r="D32" s="173" t="s">
        <v>55</v>
      </c>
      <c r="E32" s="172" t="s">
        <v>6</v>
      </c>
      <c r="F32" s="172" t="s">
        <v>166</v>
      </c>
      <c r="G32" s="172" t="s">
        <v>211</v>
      </c>
      <c r="H32" s="174">
        <v>0.97916666666666663</v>
      </c>
      <c r="I32" s="174">
        <v>0.125</v>
      </c>
      <c r="J32" s="175">
        <f t="shared" si="6"/>
        <v>0.14583333333333337</v>
      </c>
      <c r="K32" s="178"/>
      <c r="L32" s="177"/>
      <c r="M32" s="178"/>
      <c r="N32" s="179">
        <v>1</v>
      </c>
      <c r="O32" s="188" t="s">
        <v>261</v>
      </c>
      <c r="P32" s="173"/>
      <c r="Q32" s="172"/>
      <c r="R32" s="172"/>
      <c r="S32" s="175">
        <f t="shared" si="9"/>
        <v>0</v>
      </c>
      <c r="U32" s="187">
        <f>+IFERROR(VLOOKUP(D32,Datos!$R$24:$T$40,3,FALSE), "0")*N32</f>
        <v>0</v>
      </c>
      <c r="V32" s="183" t="str">
        <f t="shared" si="7"/>
        <v/>
      </c>
      <c r="W32" s="183" t="str">
        <f t="shared" si="10"/>
        <v/>
      </c>
      <c r="X32" s="183" t="str">
        <f t="shared" si="8"/>
        <v/>
      </c>
    </row>
    <row r="33" spans="2:24" ht="38" customHeight="1" x14ac:dyDescent="0.3">
      <c r="B33" s="172"/>
      <c r="C33" s="173" t="str">
        <f t="shared" si="11"/>
        <v>Ciclo Minero 5,2 x 5,6 m
Galería Acceso Portal de Servicio</v>
      </c>
      <c r="D33" s="173" t="s">
        <v>104</v>
      </c>
      <c r="E33" s="172" t="s">
        <v>6</v>
      </c>
      <c r="F33" s="172" t="s">
        <v>166</v>
      </c>
      <c r="G33" s="172" t="s">
        <v>204</v>
      </c>
      <c r="H33" s="174">
        <v>0.14583333333333334</v>
      </c>
      <c r="I33" s="174">
        <v>0.25</v>
      </c>
      <c r="J33" s="175">
        <f t="shared" si="6"/>
        <v>0.10416666666666666</v>
      </c>
      <c r="K33" s="178">
        <v>43</v>
      </c>
      <c r="L33" s="177" t="s">
        <v>128</v>
      </c>
      <c r="M33" s="178"/>
      <c r="N33" s="179">
        <v>1</v>
      </c>
      <c r="O33" s="188"/>
      <c r="P33" s="172"/>
      <c r="Q33" s="172"/>
      <c r="R33" s="172"/>
      <c r="S33" s="175">
        <f t="shared" si="9"/>
        <v>0</v>
      </c>
      <c r="U33" s="187">
        <f>+IFERROR(VLOOKUP(D33,Datos!$R$24:$T$40,3,FALSE), "0")*N33</f>
        <v>0.17399804496578691</v>
      </c>
      <c r="V33" s="183" t="str">
        <f t="shared" si="7"/>
        <v/>
      </c>
      <c r="W33" s="183">
        <f t="shared" si="10"/>
        <v>43</v>
      </c>
      <c r="X33" s="183" t="str">
        <f t="shared" si="8"/>
        <v/>
      </c>
    </row>
    <row r="34" spans="2:24" ht="38" customHeight="1" x14ac:dyDescent="0.3">
      <c r="B34" s="172"/>
      <c r="C34" s="173" t="str">
        <f>+C32</f>
        <v>Ciclo Minero 5,2 x 5,6 m
Galería Acceso Portal de Servicio</v>
      </c>
      <c r="D34" s="173"/>
      <c r="E34" s="172"/>
      <c r="F34" s="172"/>
      <c r="G34" s="172"/>
      <c r="H34" s="174"/>
      <c r="I34" s="172"/>
      <c r="J34" s="175"/>
      <c r="K34" s="178"/>
      <c r="L34" s="177"/>
      <c r="M34" s="178"/>
      <c r="N34" s="179"/>
      <c r="O34" s="188"/>
      <c r="P34" s="172"/>
      <c r="Q34" s="172"/>
      <c r="R34" s="172"/>
      <c r="S34" s="175">
        <f t="shared" ref="S34" si="12">+MOD(R34-Q34,1)</f>
        <v>0</v>
      </c>
      <c r="U34" s="184"/>
      <c r="V34" s="183" t="str">
        <f t="shared" ref="V34" si="13">IF(OR(D34="Perforación de Fortificación", D34="Perforación de Avance", D34="Perforación Desquinche"), K34*M34, "")</f>
        <v/>
      </c>
      <c r="W34" s="183" t="str">
        <f t="shared" ref="W34" si="14">IF(D34="Extracción de Marina Disparo",K34,"")</f>
        <v/>
      </c>
      <c r="X34" s="183" t="str">
        <f t="shared" ref="X34" si="15">IF(OR(D34="Shotcrete", D34="Pre Shotcrete"), K34, "")</f>
        <v/>
      </c>
    </row>
    <row r="35" spans="2:24" ht="38" customHeight="1" x14ac:dyDescent="0.3">
      <c r="B35" s="172"/>
      <c r="C35" s="173" t="str">
        <f>+C33</f>
        <v>Ciclo Minero 5,2 x 5,6 m
Galería Acceso Portal de Servicio</v>
      </c>
      <c r="D35" s="173"/>
      <c r="E35" s="172"/>
      <c r="F35" s="172"/>
      <c r="G35" s="172"/>
      <c r="H35" s="174"/>
      <c r="I35" s="172"/>
      <c r="J35" s="175">
        <f>SUM(J29:J33)</f>
        <v>0.33333333333333326</v>
      </c>
      <c r="K35" s="178"/>
      <c r="L35" s="177"/>
      <c r="M35" s="178"/>
      <c r="N35" s="179"/>
      <c r="O35" s="188"/>
      <c r="P35" s="172"/>
      <c r="Q35" s="172"/>
      <c r="R35" s="172"/>
      <c r="S35" s="175">
        <f t="shared" si="9"/>
        <v>0</v>
      </c>
      <c r="U35" s="189"/>
      <c r="V35" s="183" t="str">
        <f t="shared" si="7"/>
        <v/>
      </c>
      <c r="W35" s="183" t="str">
        <f t="shared" si="10"/>
        <v/>
      </c>
      <c r="X35" s="183" t="str">
        <f t="shared" si="8"/>
        <v/>
      </c>
    </row>
    <row r="36" spans="2:24" ht="15.65" customHeight="1" thickBot="1" x14ac:dyDescent="0.35">
      <c r="B36" s="190"/>
      <c r="C36" s="190"/>
      <c r="D36" s="190"/>
      <c r="E36" s="190"/>
      <c r="F36" s="190"/>
      <c r="G36" s="190"/>
      <c r="H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</row>
    <row r="37" spans="2:24" ht="30" customHeight="1" thickBot="1" x14ac:dyDescent="0.35">
      <c r="B37" s="191"/>
      <c r="C37" s="446" t="s">
        <v>64</v>
      </c>
      <c r="D37" s="446"/>
      <c r="E37" s="192"/>
      <c r="F37" s="192"/>
      <c r="G37" s="431">
        <v>3500</v>
      </c>
      <c r="H37" s="432"/>
      <c r="I37" s="431">
        <v>3700</v>
      </c>
      <c r="J37" s="432"/>
      <c r="K37" s="433" t="s">
        <v>146</v>
      </c>
      <c r="L37" s="434"/>
      <c r="M37" s="190"/>
      <c r="N37" s="190"/>
      <c r="O37" s="190"/>
      <c r="P37" s="190"/>
      <c r="Q37" s="190"/>
      <c r="R37" s="190"/>
      <c r="S37" s="190"/>
    </row>
    <row r="38" spans="2:24" ht="30" customHeight="1" x14ac:dyDescent="0.3">
      <c r="C38" s="194" t="s">
        <v>48</v>
      </c>
      <c r="D38" s="195">
        <f>SUMPRODUCT((LEFT(F21:F33, 1)="C") / (COUNTIF(F21:F33, F21:F33 &amp; "") + (F21:F33="")))</f>
        <v>0</v>
      </c>
      <c r="E38" s="447" t="s">
        <v>90</v>
      </c>
      <c r="F38" s="447"/>
      <c r="G38" s="196">
        <v>0.26041666666666669</v>
      </c>
      <c r="H38" s="197" t="s">
        <v>23</v>
      </c>
      <c r="I38" s="196">
        <v>0.26041666666666669</v>
      </c>
      <c r="J38" s="197" t="s">
        <v>23</v>
      </c>
      <c r="K38" s="198">
        <f>+G38</f>
        <v>0.26041666666666669</v>
      </c>
      <c r="L38" s="197" t="s">
        <v>23</v>
      </c>
      <c r="M38" s="190"/>
      <c r="N38" s="190"/>
      <c r="O38" s="190"/>
      <c r="P38" s="190"/>
      <c r="Q38" s="190"/>
      <c r="R38" s="190"/>
      <c r="S38" s="190"/>
    </row>
    <row r="39" spans="2:24" x14ac:dyDescent="0.3">
      <c r="C39" s="194" t="s">
        <v>49</v>
      </c>
      <c r="D39" s="195">
        <f>SUMPRODUCT((LEFT(F21:F33, 1)="O") / (COUNTIF(F21:F33, F21:F33 &amp; "") + (F21:F33="")))</f>
        <v>0</v>
      </c>
      <c r="E39" s="448" t="s">
        <v>198</v>
      </c>
      <c r="F39" s="448"/>
      <c r="G39" s="199">
        <f>SUM(J21:J26)</f>
        <v>0.77083333333333326</v>
      </c>
      <c r="H39" s="200">
        <f>+G39*24/($G$38*24)</f>
        <v>2.96</v>
      </c>
      <c r="I39" s="199">
        <f>SUM(J29:J33)</f>
        <v>0.33333333333333326</v>
      </c>
      <c r="J39" s="200">
        <f>+I39*24/($I$38*24)</f>
        <v>1.2799999999999998</v>
      </c>
      <c r="K39" s="201">
        <f>AVERAGE(G39+I39)/2</f>
        <v>0.55208333333333326</v>
      </c>
      <c r="L39" s="200">
        <f>+K39*24/($K$38*24)</f>
        <v>2.1199999999999997</v>
      </c>
      <c r="M39" s="190"/>
      <c r="N39" s="190"/>
      <c r="O39" s="190"/>
      <c r="P39" s="190"/>
      <c r="Q39" s="190"/>
      <c r="R39" s="190"/>
      <c r="S39" s="190"/>
    </row>
    <row r="40" spans="2:24" ht="43.25" customHeight="1" thickBot="1" x14ac:dyDescent="0.35">
      <c r="E40" s="448" t="s">
        <v>94</v>
      </c>
      <c r="F40" s="448"/>
      <c r="G40" s="202"/>
      <c r="H40" s="203">
        <f>+AVERAGE(N21:N26)</f>
        <v>0.8362068965517242</v>
      </c>
      <c r="I40" s="202"/>
      <c r="J40" s="203">
        <f>+AVERAGE(N29:N33)</f>
        <v>0.42800000000000005</v>
      </c>
      <c r="K40" s="204"/>
      <c r="L40" s="203">
        <f>+AVERAGE(N21:N33)</f>
        <v>0.60942528735632195</v>
      </c>
    </row>
    <row r="41" spans="2:24" ht="43.25" customHeight="1" x14ac:dyDescent="0.3">
      <c r="E41" s="205"/>
      <c r="F41" s="205"/>
      <c r="G41" s="206"/>
      <c r="H41" s="206"/>
      <c r="I41" s="137"/>
      <c r="J41" s="137"/>
      <c r="K41" s="137"/>
      <c r="L41" s="137"/>
    </row>
    <row r="42" spans="2:24" ht="43.25" customHeight="1" x14ac:dyDescent="0.3">
      <c r="E42" s="194"/>
      <c r="F42" s="194"/>
      <c r="G42" s="207"/>
      <c r="H42" s="208" t="s">
        <v>24</v>
      </c>
      <c r="I42" s="208" t="s">
        <v>199</v>
      </c>
      <c r="J42" s="208" t="s">
        <v>201</v>
      </c>
      <c r="K42" s="208" t="s">
        <v>258</v>
      </c>
      <c r="L42" s="345" t="s">
        <v>484</v>
      </c>
      <c r="M42" s="345" t="s">
        <v>485</v>
      </c>
      <c r="N42" s="208"/>
    </row>
    <row r="43" spans="2:24" ht="14.5" x14ac:dyDescent="0.35">
      <c r="E43" s="445" t="s">
        <v>174</v>
      </c>
      <c r="F43" s="445"/>
      <c r="G43" s="445"/>
      <c r="H43" s="209">
        <f>SUMPRODUCT(N29:N33 * U29:U33 * (N29:N33&lt;&gt;"") * (U29:U33&lt;&gt;""))</f>
        <v>0.17646959921798633</v>
      </c>
      <c r="I43" s="210">
        <f>+H43*$J$43*$K$43</f>
        <v>3.9832717935483872</v>
      </c>
      <c r="J43" s="211">
        <v>6.6</v>
      </c>
      <c r="K43" s="212">
        <v>3.42</v>
      </c>
      <c r="L43" s="344">
        <v>56.080975609756102</v>
      </c>
      <c r="M43" s="344">
        <f>+L43*K43*H43</f>
        <v>33.846328530457058</v>
      </c>
    </row>
    <row r="44" spans="2:24" ht="14.4" customHeight="1" x14ac:dyDescent="0.35">
      <c r="E44" s="445" t="s">
        <v>175</v>
      </c>
      <c r="F44" s="445"/>
      <c r="G44" s="445"/>
      <c r="H44" s="209">
        <f>+SUMPRODUCT(N21:N26 * U21:U26 * (N21:N26&lt;&gt;"") * (U21:U26&lt;&gt;""))</f>
        <v>0.14723256818784577</v>
      </c>
      <c r="I44" s="210">
        <f>+H44*$J$44*$K$44</f>
        <v>5.9417175217887044</v>
      </c>
      <c r="J44" s="211">
        <v>11.8</v>
      </c>
      <c r="K44" s="212">
        <v>3.42</v>
      </c>
      <c r="L44" s="344">
        <v>118.52055555555555</v>
      </c>
      <c r="M44" s="344">
        <f>+L44*K44*H44</f>
        <v>59.67929335903186</v>
      </c>
    </row>
    <row r="45" spans="2:24" ht="14.4" customHeight="1" x14ac:dyDescent="0.35">
      <c r="E45" s="445" t="s">
        <v>224</v>
      </c>
      <c r="F45" s="445"/>
      <c r="G45" s="445"/>
      <c r="H45" s="209"/>
      <c r="I45" s="210">
        <f>+J45*K45</f>
        <v>0</v>
      </c>
      <c r="J45" s="214">
        <f>1892/1000000</f>
        <v>1.892E-3</v>
      </c>
      <c r="K45" s="215">
        <f>+((15*4.4)*2.72)*0</f>
        <v>0</v>
      </c>
      <c r="L45" s="346">
        <v>1.6919982016368774E-2</v>
      </c>
      <c r="M45" s="344">
        <f>+L45*K45</f>
        <v>0</v>
      </c>
    </row>
    <row r="46" spans="2:24" ht="14.4" customHeight="1" x14ac:dyDescent="0.35">
      <c r="E46" s="445" t="s">
        <v>225</v>
      </c>
      <c r="F46" s="445"/>
      <c r="G46" s="445"/>
      <c r="H46" s="209"/>
      <c r="I46" s="210">
        <f>+J46*K46</f>
        <v>0</v>
      </c>
      <c r="J46" s="214">
        <f>+J45</f>
        <v>1.892E-3</v>
      </c>
      <c r="K46" s="215">
        <f>+((15*2.8)*2.72)*0</f>
        <v>0</v>
      </c>
      <c r="L46" s="346">
        <v>1.6909997294111807E-2</v>
      </c>
      <c r="M46" s="344">
        <f>+L46*K46</f>
        <v>0</v>
      </c>
    </row>
    <row r="47" spans="2:24" ht="14.4" customHeight="1" x14ac:dyDescent="0.35">
      <c r="E47" s="445" t="s">
        <v>236</v>
      </c>
      <c r="F47" s="445"/>
      <c r="G47" s="445"/>
      <c r="H47" s="209"/>
      <c r="I47" s="210">
        <f>+J47*K47</f>
        <v>0</v>
      </c>
      <c r="J47" s="214">
        <f>25508/1000000</f>
        <v>2.5507999999999999E-2</v>
      </c>
      <c r="K47" s="215">
        <f>14.43*0</f>
        <v>0</v>
      </c>
      <c r="L47" s="347" t="s">
        <v>486</v>
      </c>
      <c r="M47" s="349"/>
    </row>
    <row r="48" spans="2:24" ht="13.5" thickBot="1" x14ac:dyDescent="0.35">
      <c r="M48" s="352">
        <f>SUM(M43:M47)</f>
        <v>93.525621889488917</v>
      </c>
    </row>
    <row r="49" spans="2:10" ht="30" customHeight="1" thickBot="1" x14ac:dyDescent="0.35">
      <c r="B49" s="191"/>
      <c r="C49" s="446" t="s">
        <v>88</v>
      </c>
      <c r="D49" s="446"/>
      <c r="E49" s="192"/>
      <c r="F49" s="192"/>
      <c r="G49" s="192"/>
      <c r="H49" s="192"/>
      <c r="I49" s="216"/>
      <c r="J49" s="193"/>
    </row>
    <row r="50" spans="2:10" ht="38" customHeight="1" x14ac:dyDescent="0.3">
      <c r="C50" s="217" t="s">
        <v>89</v>
      </c>
      <c r="D50" s="195">
        <f>SUMPRODUCT((LEFT(G21:G33, 5)="Jumbo") / (COUNTIF(G21:G33, G21:G33 &amp; "") + (G21:G33="")))</f>
        <v>2</v>
      </c>
      <c r="E50" s="447" t="s">
        <v>90</v>
      </c>
      <c r="F50" s="447"/>
      <c r="G50" s="218">
        <v>0.20833333333333334</v>
      </c>
      <c r="I50" s="139"/>
      <c r="J50" s="190"/>
    </row>
    <row r="51" spans="2:10" ht="38" customHeight="1" x14ac:dyDescent="0.3">
      <c r="E51" s="447" t="s">
        <v>93</v>
      </c>
      <c r="F51" s="447"/>
      <c r="G51" s="195">
        <f>15000/(60)</f>
        <v>250</v>
      </c>
      <c r="H51" s="219" t="s">
        <v>143</v>
      </c>
      <c r="I51" s="139"/>
      <c r="J51" s="190"/>
    </row>
    <row r="52" spans="2:10" ht="38" customHeight="1" x14ac:dyDescent="0.3">
      <c r="E52" s="448" t="s">
        <v>91</v>
      </c>
      <c r="F52" s="448"/>
      <c r="G52" s="207">
        <f>+SUM(SUMIF($G$21:$G$33, "Jumbo*", $J$21:$J$33))/SUMPRODUCT((LEFT(G21:G33, 5)="Jumbo") / (COUNTIF(G21:G33, G21:G33 &amp; "") + (G21:G33="")))</f>
        <v>0.11458333333333331</v>
      </c>
      <c r="H52" s="220">
        <f>+G52*24/($G$50*24)</f>
        <v>0.54999999999999993</v>
      </c>
      <c r="I52" s="190"/>
      <c r="J52" s="190"/>
    </row>
    <row r="53" spans="2:10" ht="38" customHeight="1" x14ac:dyDescent="0.3">
      <c r="E53" s="448" t="s">
        <v>92</v>
      </c>
      <c r="F53" s="448"/>
      <c r="G53" s="221">
        <f>+SUM(V21:V33)/D50</f>
        <v>127.4</v>
      </c>
      <c r="H53" s="220">
        <f>+G53/G51</f>
        <v>0.50960000000000005</v>
      </c>
      <c r="I53" s="190"/>
      <c r="J53" s="190"/>
    </row>
    <row r="54" spans="2:10" ht="38" customHeight="1" x14ac:dyDescent="0.3">
      <c r="G54" s="222" t="s">
        <v>87</v>
      </c>
      <c r="H54" s="139" t="s">
        <v>23</v>
      </c>
    </row>
    <row r="55" spans="2:10" ht="20" customHeight="1" x14ac:dyDescent="0.3">
      <c r="F55" s="208" t="s">
        <v>65</v>
      </c>
      <c r="G55" s="221">
        <f t="shared" ref="G55:G60" si="16" xml:space="preserve"> SUMIF($G$21:$G$33, +F55,$V$21:$V$33)</f>
        <v>0</v>
      </c>
      <c r="H55" s="220">
        <f t="shared" ref="H55:H60" si="17">+G55/$G$51</f>
        <v>0</v>
      </c>
    </row>
    <row r="56" spans="2:10" ht="20" customHeight="1" x14ac:dyDescent="0.3">
      <c r="F56" s="208" t="s">
        <v>66</v>
      </c>
      <c r="G56" s="221">
        <f t="shared" si="16"/>
        <v>0</v>
      </c>
      <c r="H56" s="220">
        <f t="shared" si="17"/>
        <v>0</v>
      </c>
    </row>
    <row r="57" spans="2:10" ht="20" customHeight="1" x14ac:dyDescent="0.3">
      <c r="F57" s="208" t="s">
        <v>67</v>
      </c>
      <c r="G57" s="221">
        <f t="shared" si="16"/>
        <v>0</v>
      </c>
      <c r="H57" s="220">
        <f t="shared" si="17"/>
        <v>0</v>
      </c>
    </row>
    <row r="58" spans="2:10" ht="20" customHeight="1" x14ac:dyDescent="0.3">
      <c r="F58" s="208" t="s">
        <v>68</v>
      </c>
      <c r="G58" s="221">
        <f t="shared" si="16"/>
        <v>0</v>
      </c>
      <c r="H58" s="220">
        <f t="shared" si="17"/>
        <v>0</v>
      </c>
    </row>
    <row r="59" spans="2:10" ht="20" customHeight="1" x14ac:dyDescent="0.3">
      <c r="F59" s="208" t="s">
        <v>69</v>
      </c>
      <c r="G59" s="221">
        <f t="shared" si="16"/>
        <v>0</v>
      </c>
      <c r="H59" s="220">
        <f t="shared" si="17"/>
        <v>0</v>
      </c>
    </row>
    <row r="60" spans="2:10" ht="20" customHeight="1" x14ac:dyDescent="0.3">
      <c r="F60" s="208" t="s">
        <v>70</v>
      </c>
      <c r="G60" s="221">
        <f t="shared" si="16"/>
        <v>0</v>
      </c>
      <c r="H60" s="220">
        <f t="shared" si="17"/>
        <v>0</v>
      </c>
    </row>
    <row r="61" spans="2:10" ht="20" customHeight="1" x14ac:dyDescent="0.3">
      <c r="F61" s="208" t="s">
        <v>146</v>
      </c>
      <c r="G61" s="223">
        <f>+SUM(G55:G60)</f>
        <v>0</v>
      </c>
      <c r="H61" s="220">
        <f>+G61/($G$51*$D$50)</f>
        <v>0</v>
      </c>
    </row>
    <row r="62" spans="2:10" ht="13.5" thickBot="1" x14ac:dyDescent="0.35"/>
    <row r="63" spans="2:10" ht="30" customHeight="1" thickBot="1" x14ac:dyDescent="0.35">
      <c r="B63" s="191"/>
      <c r="C63" s="446" t="s">
        <v>107</v>
      </c>
      <c r="D63" s="446"/>
      <c r="E63" s="192"/>
      <c r="F63" s="192"/>
      <c r="G63" s="192"/>
      <c r="H63" s="192"/>
      <c r="I63" s="216"/>
      <c r="J63" s="193"/>
    </row>
    <row r="64" spans="2:10" ht="38" customHeight="1" x14ac:dyDescent="0.3">
      <c r="C64" s="208" t="s">
        <v>95</v>
      </c>
      <c r="D64" s="195">
        <f>SUMPRODUCT((LEFT(G21:G33, 5)="Scoop") / (COUNTIF(G21:G33, G21:G33 &amp; "") + (G21:G33="")))</f>
        <v>1</v>
      </c>
      <c r="E64" s="447" t="s">
        <v>90</v>
      </c>
      <c r="F64" s="447"/>
      <c r="G64" s="218">
        <v>0.20833333333333334</v>
      </c>
      <c r="I64" s="139"/>
      <c r="J64" s="190"/>
    </row>
    <row r="65" spans="2:10" ht="38" customHeight="1" x14ac:dyDescent="0.3">
      <c r="C65" s="208" t="s">
        <v>145</v>
      </c>
      <c r="D65" s="195">
        <v>4.9000000000000004</v>
      </c>
      <c r="E65" s="447" t="s">
        <v>97</v>
      </c>
      <c r="F65" s="447"/>
      <c r="G65" s="195">
        <f>15000/(60)</f>
        <v>250</v>
      </c>
      <c r="H65" s="219" t="s">
        <v>23</v>
      </c>
      <c r="I65" s="139"/>
      <c r="J65" s="190"/>
    </row>
    <row r="66" spans="2:10" ht="38" customHeight="1" x14ac:dyDescent="0.3">
      <c r="E66" s="448" t="s">
        <v>98</v>
      </c>
      <c r="F66" s="448"/>
      <c r="G66" s="207">
        <f>+SUM(SUMIF($G$21:$G$33, "Scoop*", $J$21:$J$33))/SUMPRODUCT((LEFT(G21:G33, 5)="Scoop") / (COUNTIF(G21:G33, G21:G33 &amp; "") + (G21:G33="")))</f>
        <v>0.10416666666666666</v>
      </c>
      <c r="H66" s="220">
        <f>+G66*24/($G$64*24)</f>
        <v>0.5</v>
      </c>
      <c r="I66" s="190"/>
      <c r="J66" s="190"/>
    </row>
    <row r="67" spans="2:10" ht="38" customHeight="1" x14ac:dyDescent="0.3">
      <c r="E67" s="448" t="s">
        <v>99</v>
      </c>
      <c r="F67" s="448"/>
      <c r="G67" s="221">
        <f>+SUM(W21:W33)*D65/D64</f>
        <v>210.70000000000002</v>
      </c>
      <c r="H67" s="220">
        <f>+G67/G65</f>
        <v>0.8428000000000001</v>
      </c>
      <c r="I67" s="190"/>
      <c r="J67" s="190"/>
    </row>
    <row r="68" spans="2:10" ht="38" customHeight="1" x14ac:dyDescent="0.3">
      <c r="G68" s="222" t="s">
        <v>96</v>
      </c>
      <c r="H68" s="139" t="s">
        <v>23</v>
      </c>
    </row>
    <row r="69" spans="2:10" ht="20" customHeight="1" x14ac:dyDescent="0.3">
      <c r="F69" s="208" t="s">
        <v>71</v>
      </c>
      <c r="G69" s="221">
        <f t="shared" ref="G69:G74" si="18" xml:space="preserve"> SUMIF($G$21:$G$33, +F69,$W$21:$W$33)*$D$65</f>
        <v>0</v>
      </c>
      <c r="H69" s="220">
        <f>+G69/$G$65</f>
        <v>0</v>
      </c>
    </row>
    <row r="70" spans="2:10" ht="20" customHeight="1" x14ac:dyDescent="0.3">
      <c r="F70" s="208" t="s">
        <v>72</v>
      </c>
      <c r="G70" s="221">
        <f t="shared" si="18"/>
        <v>0</v>
      </c>
      <c r="H70" s="220">
        <f t="shared" ref="H70:H75" si="19">+G70/$G$65</f>
        <v>0</v>
      </c>
    </row>
    <row r="71" spans="2:10" ht="20" customHeight="1" x14ac:dyDescent="0.3">
      <c r="F71" s="208" t="s">
        <v>73</v>
      </c>
      <c r="G71" s="221">
        <f t="shared" si="18"/>
        <v>0</v>
      </c>
      <c r="H71" s="220">
        <f t="shared" si="19"/>
        <v>0</v>
      </c>
    </row>
    <row r="72" spans="2:10" ht="20" customHeight="1" x14ac:dyDescent="0.3">
      <c r="F72" s="208" t="s">
        <v>74</v>
      </c>
      <c r="G72" s="221">
        <f t="shared" si="18"/>
        <v>0</v>
      </c>
      <c r="H72" s="220">
        <f t="shared" si="19"/>
        <v>0</v>
      </c>
    </row>
    <row r="73" spans="2:10" ht="20" customHeight="1" x14ac:dyDescent="0.3">
      <c r="F73" s="208" t="s">
        <v>75</v>
      </c>
      <c r="G73" s="221">
        <f t="shared" si="18"/>
        <v>0</v>
      </c>
      <c r="H73" s="220">
        <f t="shared" si="19"/>
        <v>0</v>
      </c>
    </row>
    <row r="74" spans="2:10" ht="20" customHeight="1" x14ac:dyDescent="0.3">
      <c r="F74" s="208" t="s">
        <v>76</v>
      </c>
      <c r="G74" s="221">
        <f t="shared" si="18"/>
        <v>0</v>
      </c>
      <c r="H74" s="220">
        <f t="shared" si="19"/>
        <v>0</v>
      </c>
    </row>
    <row r="75" spans="2:10" ht="20" customHeight="1" x14ac:dyDescent="0.3">
      <c r="F75" s="208" t="s">
        <v>146</v>
      </c>
      <c r="G75" s="223">
        <f>+SUM(G69:G74)</f>
        <v>0</v>
      </c>
      <c r="H75" s="220">
        <f t="shared" si="19"/>
        <v>0</v>
      </c>
    </row>
    <row r="76" spans="2:10" ht="13.5" thickBot="1" x14ac:dyDescent="0.35"/>
    <row r="77" spans="2:10" ht="30" customHeight="1" thickBot="1" x14ac:dyDescent="0.35">
      <c r="B77" s="191"/>
      <c r="C77" s="446" t="s">
        <v>149</v>
      </c>
      <c r="D77" s="446"/>
      <c r="E77" s="192"/>
      <c r="F77" s="192"/>
      <c r="G77" s="192"/>
      <c r="H77" s="192"/>
      <c r="I77" s="216"/>
      <c r="J77" s="193"/>
    </row>
    <row r="78" spans="2:10" ht="25.25" customHeight="1" x14ac:dyDescent="0.3">
      <c r="C78" s="208" t="s">
        <v>150</v>
      </c>
      <c r="D78" s="195">
        <f>SUMPRODUCT((LEFT(G21:G33, 8)="Roboshot") / (COUNTIF(G21:G33, G21:G33 &amp; "") + (G21:G33="")))</f>
        <v>0</v>
      </c>
      <c r="E78" s="447" t="s">
        <v>90</v>
      </c>
      <c r="F78" s="447"/>
      <c r="G78" s="218">
        <v>0.20833333333333334</v>
      </c>
    </row>
    <row r="79" spans="2:10" x14ac:dyDescent="0.3">
      <c r="C79" s="208"/>
      <c r="D79" s="195"/>
      <c r="E79" s="447" t="s">
        <v>97</v>
      </c>
      <c r="F79" s="447"/>
      <c r="G79" s="195">
        <v>12</v>
      </c>
      <c r="H79" s="219" t="s">
        <v>23</v>
      </c>
    </row>
    <row r="81" spans="6:8" x14ac:dyDescent="0.3">
      <c r="G81" s="222" t="s">
        <v>96</v>
      </c>
      <c r="H81" s="139" t="s">
        <v>23</v>
      </c>
    </row>
    <row r="82" spans="6:8" x14ac:dyDescent="0.3">
      <c r="F82" s="208" t="s">
        <v>77</v>
      </c>
      <c r="G82" s="221">
        <f xml:space="preserve"> SUMIF($G$21:$G$33, +F82,$X$21:$X$33)</f>
        <v>0</v>
      </c>
      <c r="H82" s="220">
        <f>+G82/$G$79</f>
        <v>0</v>
      </c>
    </row>
    <row r="83" spans="6:8" x14ac:dyDescent="0.3">
      <c r="F83" s="208" t="s">
        <v>78</v>
      </c>
      <c r="G83" s="221">
        <f xml:space="preserve"> SUMIF($G$21:$G$33, +F83,$X$21:$X$33)</f>
        <v>0</v>
      </c>
      <c r="H83" s="220">
        <f t="shared" ref="H83:H84" si="20">+G83/$G$79</f>
        <v>0</v>
      </c>
    </row>
    <row r="84" spans="6:8" x14ac:dyDescent="0.3">
      <c r="F84" s="208" t="s">
        <v>79</v>
      </c>
      <c r="G84" s="221">
        <f xml:space="preserve"> SUMIF($G$21:$G$33, +F84,$X$21:$X$33)</f>
        <v>0</v>
      </c>
      <c r="H84" s="220">
        <f t="shared" si="20"/>
        <v>0</v>
      </c>
    </row>
    <row r="85" spans="6:8" x14ac:dyDescent="0.3">
      <c r="F85" s="208" t="s">
        <v>146</v>
      </c>
      <c r="G85" s="223">
        <f>+SUM(G82:G84)</f>
        <v>0</v>
      </c>
      <c r="H85" s="220">
        <f>+G85/$G$79</f>
        <v>0</v>
      </c>
    </row>
  </sheetData>
  <mergeCells count="36">
    <mergeCell ref="I37:J37"/>
    <mergeCell ref="K37:L37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  <mergeCell ref="E45:G45"/>
    <mergeCell ref="E46:G46"/>
    <mergeCell ref="E47:G47"/>
    <mergeCell ref="C37:D37"/>
    <mergeCell ref="G37:H37"/>
    <mergeCell ref="E38:F38"/>
    <mergeCell ref="E39:F39"/>
    <mergeCell ref="E40:F40"/>
    <mergeCell ref="E43:G43"/>
    <mergeCell ref="E44:G44"/>
    <mergeCell ref="C49:D49"/>
    <mergeCell ref="E50:F50"/>
    <mergeCell ref="E51:F51"/>
    <mergeCell ref="C77:D77"/>
    <mergeCell ref="E78:F78"/>
    <mergeCell ref="E52:F52"/>
    <mergeCell ref="E79:F79"/>
    <mergeCell ref="E53:F53"/>
    <mergeCell ref="C63:D63"/>
    <mergeCell ref="E64:F64"/>
    <mergeCell ref="E65:F65"/>
    <mergeCell ref="E66:F66"/>
    <mergeCell ref="E67:F67"/>
  </mergeCells>
  <conditionalFormatting sqref="H39:H40 J39:J40">
    <cfRule type="cellIs" dxfId="1028" priority="13" operator="greaterThan">
      <formula>0.9</formula>
    </cfRule>
    <cfRule type="cellIs" dxfId="1027" priority="14" operator="between">
      <formula>0.81</formula>
      <formula>0.89</formula>
    </cfRule>
    <cfRule type="cellIs" dxfId="1026" priority="15" operator="lessThan">
      <formula>0.8</formula>
    </cfRule>
  </conditionalFormatting>
  <conditionalFormatting sqref="H52:H53">
    <cfRule type="cellIs" dxfId="1025" priority="16" operator="greaterThan">
      <formula>0.9</formula>
    </cfRule>
    <cfRule type="cellIs" dxfId="1024" priority="17" operator="between">
      <formula>0.81</formula>
      <formula>0.89</formula>
    </cfRule>
    <cfRule type="cellIs" dxfId="1023" priority="18" operator="lessThan">
      <formula>0.8</formula>
    </cfRule>
  </conditionalFormatting>
  <conditionalFormatting sqref="H55:H61">
    <cfRule type="cellIs" dxfId="1022" priority="19" operator="greaterThan">
      <formula>0.9</formula>
    </cfRule>
    <cfRule type="cellIs" dxfId="1021" priority="20" operator="between">
      <formula>0.81</formula>
      <formula>0.89</formula>
    </cfRule>
    <cfRule type="cellIs" dxfId="1020" priority="21" operator="lessThan">
      <formula>0.8</formula>
    </cfRule>
  </conditionalFormatting>
  <conditionalFormatting sqref="H66:H67">
    <cfRule type="cellIs" dxfId="1019" priority="7" operator="greaterThan">
      <formula>0.9</formula>
    </cfRule>
    <cfRule type="cellIs" dxfId="1018" priority="8" operator="between">
      <formula>0.81</formula>
      <formula>0.89</formula>
    </cfRule>
    <cfRule type="cellIs" dxfId="1017" priority="9" operator="lessThan">
      <formula>0.8</formula>
    </cfRule>
  </conditionalFormatting>
  <conditionalFormatting sqref="H69:H75">
    <cfRule type="cellIs" dxfId="1016" priority="10" operator="greaterThan">
      <formula>0.9</formula>
    </cfRule>
    <cfRule type="cellIs" dxfId="1015" priority="11" operator="between">
      <formula>0.81</formula>
      <formula>0.89</formula>
    </cfRule>
    <cfRule type="cellIs" dxfId="1014" priority="12" operator="lessThan">
      <formula>0.8</formula>
    </cfRule>
  </conditionalFormatting>
  <conditionalFormatting sqref="H82:H85">
    <cfRule type="cellIs" dxfId="1013" priority="4" operator="greaterThan">
      <formula>0.9</formula>
    </cfRule>
    <cfRule type="cellIs" dxfId="1012" priority="5" operator="between">
      <formula>0.81</formula>
      <formula>0.89</formula>
    </cfRule>
    <cfRule type="cellIs" dxfId="1011" priority="6" operator="lessThan">
      <formula>0.8</formula>
    </cfRule>
  </conditionalFormatting>
  <conditionalFormatting sqref="L39:L40">
    <cfRule type="cellIs" dxfId="1010" priority="1" operator="greaterThan">
      <formula>0.9</formula>
    </cfRule>
    <cfRule type="cellIs" dxfId="1009" priority="2" operator="between">
      <formula>0.81</formula>
      <formula>0.89</formula>
    </cfRule>
    <cfRule type="cellIs" dxfId="1008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C7394611-1305-4435-8066-B11100339623}">
          <x14:formula1>
            <xm:f>Datos!$F$3:$F$41</xm:f>
          </x14:formula1>
          <xm:sqref>G29:G35 G21:G26</xm:sqref>
        </x14:dataValidation>
        <x14:dataValidation type="list" allowBlank="1" showInputMessage="1" showErrorMessage="1" xr:uid="{3786D6A2-46AB-43B4-A77B-150C0AABCF31}">
          <x14:formula1>
            <xm:f>Datos!$W$3:$W$12</xm:f>
          </x14:formula1>
          <xm:sqref>L21:L26 L29:L35</xm:sqref>
        </x14:dataValidation>
        <x14:dataValidation type="list" allowBlank="1" showInputMessage="1" showErrorMessage="1" xr:uid="{6688ED75-B5B8-4B5E-A09A-FC9A8ED27DF5}">
          <x14:formula1>
            <xm:f>Datos!$D$3:$D$27</xm:f>
          </x14:formula1>
          <xm:sqref>F29:F35 F21:F26</xm:sqref>
        </x14:dataValidation>
        <x14:dataValidation type="list" allowBlank="1" showInputMessage="1" showErrorMessage="1" xr:uid="{3C7810F7-2786-48D5-BED3-8102970E518E}">
          <x14:formula1>
            <xm:f>Datos!$B$3:$B$8</xm:f>
          </x14:formula1>
          <xm:sqref>E29:E35 E21:E26</xm:sqref>
        </x14:dataValidation>
        <x14:dataValidation type="list" allowBlank="1" showInputMessage="1" showErrorMessage="1" xr:uid="{D28A66C6-6B34-43A7-A245-33B846BD4CE2}">
          <x14:formula1>
            <xm:f>Datos!$H$3:$H$52</xm:f>
          </x14:formula1>
          <xm:sqref>D22 D29:D31</xm:sqref>
        </x14:dataValidation>
        <x14:dataValidation type="list" allowBlank="1" showInputMessage="1" showErrorMessage="1" xr:uid="{982B4E56-0402-4EDE-9BFF-7CAFF9822D42}">
          <x14:formula1>
            <xm:f>Datos!$H$3:$H$26</xm:f>
          </x14:formula1>
          <xm:sqref>D25:D26 D32:D35 D21</xm:sqref>
        </x14:dataValidation>
        <x14:dataValidation type="list" allowBlank="1" showInputMessage="1" showErrorMessage="1" xr:uid="{22906985-3458-4845-B6B3-0E62B810EA83}">
          <x14:formula1>
            <xm:f>Datos!$H$3:$H$34</xm:f>
          </x14:formula1>
          <xm:sqref>D23:D24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41346-57CE-41AA-B042-3231D3FE8C97}">
  <sheetPr>
    <pageSetUpPr fitToPage="1"/>
  </sheetPr>
  <dimension ref="B1:X85"/>
  <sheetViews>
    <sheetView showGridLines="0" topLeftCell="A19" zoomScale="70" zoomScaleNormal="70" zoomScaleSheetLayoutView="50" workbookViewId="0">
      <pane xSplit="3" ySplit="2" topLeftCell="D31" activePane="bottomRight" state="frozen"/>
      <selection activeCell="A19" sqref="A19"/>
      <selection pane="topRight" activeCell="D19" sqref="D19"/>
      <selection pane="bottomLeft" activeCell="A21" sqref="A21"/>
      <selection pane="bottomRight" activeCell="M49" sqref="M49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+G39</f>
        <v>0.79166666666666674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+H40</f>
        <v>0.56379310344827582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+G75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+G85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38" customHeight="1" x14ac:dyDescent="0.3">
      <c r="B21" s="172"/>
      <c r="C21" s="173" t="str">
        <f>+Datos!$R$2</f>
        <v>Ciclo Minero 10,0 x 7,2 m
Galería Inyección Principal</v>
      </c>
      <c r="D21" s="173" t="s">
        <v>54</v>
      </c>
      <c r="E21" s="172" t="s">
        <v>6</v>
      </c>
      <c r="F21" s="172" t="s">
        <v>165</v>
      </c>
      <c r="G21" s="172" t="s">
        <v>212</v>
      </c>
      <c r="H21" s="174">
        <v>0.5</v>
      </c>
      <c r="I21" s="174">
        <v>0.58333333333333337</v>
      </c>
      <c r="J21" s="175">
        <f t="shared" ref="J21:J24" si="0">MOD(I21-H21, 1)</f>
        <v>8.333333333333337E-2</v>
      </c>
      <c r="K21" s="176">
        <v>38</v>
      </c>
      <c r="L21" s="177" t="s">
        <v>125</v>
      </c>
      <c r="M21" s="178">
        <v>4</v>
      </c>
      <c r="N21" s="179">
        <f>38/58</f>
        <v>0.65517241379310343</v>
      </c>
      <c r="O21" s="186" t="s">
        <v>270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0.11660798237504179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/>
      <c r="C22" s="173" t="str">
        <f>+C21</f>
        <v>Ciclo Minero 10,0 x 7,2 m
Galería Inyección Principal</v>
      </c>
      <c r="D22" s="173" t="s">
        <v>54</v>
      </c>
      <c r="E22" s="172" t="s">
        <v>6</v>
      </c>
      <c r="F22" s="172" t="s">
        <v>165</v>
      </c>
      <c r="G22" s="172" t="s">
        <v>212</v>
      </c>
      <c r="H22" s="174">
        <v>0.58333333333333337</v>
      </c>
      <c r="I22" s="174">
        <v>0.625</v>
      </c>
      <c r="J22" s="175">
        <f t="shared" si="0"/>
        <v>4.166666666666663E-2</v>
      </c>
      <c r="K22" s="178">
        <v>16</v>
      </c>
      <c r="L22" s="177" t="s">
        <v>125</v>
      </c>
      <c r="M22" s="178">
        <v>1.5</v>
      </c>
      <c r="N22" s="179">
        <v>0</v>
      </c>
      <c r="O22" s="225" t="s">
        <v>271</v>
      </c>
      <c r="P22" s="181"/>
      <c r="Q22" s="174"/>
      <c r="R22" s="172"/>
      <c r="S22" s="175">
        <f t="shared" ref="S22:S26" si="1">+MOD(R22-Q22,1)</f>
        <v>0</v>
      </c>
      <c r="U22" s="182">
        <f>+IFERROR(VLOOKUP(D22,Datos!$R$3:$T$19,3,FALSE), "0")*N22</f>
        <v>0</v>
      </c>
      <c r="V22" s="183" t="str">
        <f t="shared" ref="V22:V26" si="2">IF(OR(D22="Perforación de Fortificación", D22="Perforación de Avance", D22="Perforación Desquinche"), K22*M22, "")</f>
        <v/>
      </c>
      <c r="W22" s="183" t="str">
        <f t="shared" ref="W22:W26" si="3">IF(D22="Extracción de Marina Disparo",K22,"")</f>
        <v/>
      </c>
      <c r="X22" s="183" t="str">
        <f t="shared" ref="X22:X26" si="4">IF(OR(D22="Shotcrete", D22="Pre Shotcrete"), K22, "")</f>
        <v/>
      </c>
    </row>
    <row r="23" spans="2:24" ht="38" customHeight="1" x14ac:dyDescent="0.3">
      <c r="B23" s="172"/>
      <c r="C23" s="173" t="str">
        <f t="shared" ref="C23:C24" si="5">+C22</f>
        <v>Ciclo Minero 10,0 x 7,2 m
Galería Inyección Principal</v>
      </c>
      <c r="D23" s="173" t="s">
        <v>57</v>
      </c>
      <c r="E23" s="172" t="s">
        <v>6</v>
      </c>
      <c r="F23" s="172" t="s">
        <v>165</v>
      </c>
      <c r="G23" s="172" t="s">
        <v>203</v>
      </c>
      <c r="H23" s="174">
        <v>0.95833333333333337</v>
      </c>
      <c r="I23" s="174">
        <v>0.14583333333333334</v>
      </c>
      <c r="J23" s="175">
        <f t="shared" si="0"/>
        <v>0.1875</v>
      </c>
      <c r="K23" s="178">
        <v>58</v>
      </c>
      <c r="L23" s="177" t="s">
        <v>138</v>
      </c>
      <c r="M23" s="178">
        <v>4</v>
      </c>
      <c r="N23" s="179">
        <v>1</v>
      </c>
      <c r="O23" s="186" t="s">
        <v>263</v>
      </c>
      <c r="P23" s="181"/>
      <c r="Q23" s="174"/>
      <c r="R23" s="174"/>
      <c r="S23" s="175">
        <f t="shared" si="1"/>
        <v>0</v>
      </c>
      <c r="U23" s="182">
        <f>+IFERROR(VLOOKUP(D23,Datos!$R$3:$T$19,3,FALSE), "0")*N23</f>
        <v>8.6138049058756397E-2</v>
      </c>
      <c r="V23" s="183">
        <f t="shared" si="2"/>
        <v>232</v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/>
      <c r="C24" s="173" t="str">
        <f t="shared" si="5"/>
        <v>Ciclo Minero 10,0 x 7,2 m
Galería Inyección Principal</v>
      </c>
      <c r="D24" s="173" t="s">
        <v>105</v>
      </c>
      <c r="E24" s="172" t="s">
        <v>6</v>
      </c>
      <c r="F24" s="172" t="s">
        <v>165</v>
      </c>
      <c r="G24" s="172" t="s">
        <v>204</v>
      </c>
      <c r="H24" s="174">
        <v>0.66666666666666663</v>
      </c>
      <c r="I24" s="174">
        <v>0.75</v>
      </c>
      <c r="J24" s="175">
        <f t="shared" si="0"/>
        <v>8.333333333333337E-2</v>
      </c>
      <c r="K24" s="178">
        <v>28</v>
      </c>
      <c r="L24" s="177" t="s">
        <v>128</v>
      </c>
      <c r="M24" s="178"/>
      <c r="N24" s="179">
        <v>0.6</v>
      </c>
      <c r="O24" s="225"/>
      <c r="P24" s="181"/>
      <c r="Q24" s="172"/>
      <c r="R24" s="172"/>
      <c r="S24" s="175">
        <f t="shared" si="1"/>
        <v>0</v>
      </c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225"/>
      <c r="P25" s="181"/>
      <c r="Q25" s="172"/>
      <c r="R25" s="172"/>
      <c r="S25" s="175">
        <f t="shared" si="1"/>
        <v>0</v>
      </c>
      <c r="U25" s="182" t="str">
        <f>+IFERROR(VLOOKUP(D25,Datos!$R$3:$T$19,3,FALSE), "0")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>
        <f>SUM(J21:J25)</f>
        <v>0.39583333333333337</v>
      </c>
      <c r="K26" s="178"/>
      <c r="L26" s="177"/>
      <c r="M26" s="178"/>
      <c r="N26" s="179"/>
      <c r="O26" s="225"/>
      <c r="P26" s="172"/>
      <c r="Q26" s="172"/>
      <c r="R26" s="172"/>
      <c r="S26" s="175">
        <f t="shared" si="1"/>
        <v>0</v>
      </c>
      <c r="U26" s="184"/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/>
      <c r="C29" s="173" t="str">
        <f>+Datos!R23</f>
        <v>Ciclo Minero 5,2 x 5,6 m
Galería Acceso Portal de Servicio</v>
      </c>
      <c r="D29" s="173" t="s">
        <v>56</v>
      </c>
      <c r="E29" s="172" t="s">
        <v>6</v>
      </c>
      <c r="F29" s="172" t="s">
        <v>166</v>
      </c>
      <c r="G29" s="172" t="s">
        <v>209</v>
      </c>
      <c r="H29" s="174">
        <v>0.39583333333333331</v>
      </c>
      <c r="I29" s="174">
        <v>0.45833333333333331</v>
      </c>
      <c r="J29" s="175">
        <f t="shared" ref="J29:J33" si="6">MOD(I29-H29, 1)</f>
        <v>6.25E-2</v>
      </c>
      <c r="K29" s="178"/>
      <c r="L29" s="177"/>
      <c r="M29" s="178"/>
      <c r="N29" s="179">
        <v>1</v>
      </c>
      <c r="O29" s="188"/>
      <c r="P29" s="181" t="s">
        <v>265</v>
      </c>
      <c r="Q29" s="174">
        <v>0.41666666666666669</v>
      </c>
      <c r="R29" s="174">
        <v>0.4375</v>
      </c>
      <c r="S29" s="175">
        <f t="shared" ref="S29" si="7">MOD(R29-Q29, 1)</f>
        <v>2.0833333333333315E-2</v>
      </c>
      <c r="U29" s="187">
        <f>+IFERROR(VLOOKUP(D29,Datos!$R$24:$T$40,3,FALSE), "0")*N29</f>
        <v>5.5718475073313775E-2</v>
      </c>
      <c r="V29" s="183" t="str">
        <f t="shared" ref="V29:V35" si="8">IF(OR(D29="Perforación de Fortificación", D29="Perforación de Avance", D29="Perforación Desquinche"), K29*M29, "")</f>
        <v/>
      </c>
      <c r="W29" s="183" t="str">
        <f>IF(D29="Extracción de Marina Disparo",K29,"")</f>
        <v/>
      </c>
      <c r="X29" s="183" t="str">
        <f t="shared" ref="X29:X35" si="9">IF(OR(D29="Shotcrete", D29="Pre Shotcrete"), K29, "")</f>
        <v/>
      </c>
    </row>
    <row r="30" spans="2:24" ht="53.4" customHeight="1" x14ac:dyDescent="0.3">
      <c r="B30" s="172"/>
      <c r="C30" s="173" t="str">
        <f>+C29</f>
        <v>Ciclo Minero 5,2 x 5,6 m
Galería Acceso Portal de Servicio</v>
      </c>
      <c r="D30" s="173" t="s">
        <v>59</v>
      </c>
      <c r="E30" s="172" t="s">
        <v>6</v>
      </c>
      <c r="F30" s="172" t="s">
        <v>166</v>
      </c>
      <c r="G30" s="172" t="s">
        <v>213</v>
      </c>
      <c r="H30" s="174">
        <v>0.45833333333333331</v>
      </c>
      <c r="I30" s="174">
        <v>0.54166666666666663</v>
      </c>
      <c r="J30" s="175">
        <f t="shared" si="6"/>
        <v>8.3333333333333315E-2</v>
      </c>
      <c r="K30" s="178"/>
      <c r="L30" s="177"/>
      <c r="M30" s="178"/>
      <c r="N30" s="179">
        <v>1</v>
      </c>
      <c r="O30" s="188" t="s">
        <v>266</v>
      </c>
      <c r="P30" s="172"/>
      <c r="Q30" s="172"/>
      <c r="R30" s="172"/>
      <c r="S30" s="175">
        <f t="shared" ref="S30:S35" si="10">+MOD(R30-Q30,1)</f>
        <v>0</v>
      </c>
      <c r="U30" s="187">
        <f>+IFERROR(VLOOKUP(D30,Datos!$R$24:$T$40,3,FALSE), "0")*N30</f>
        <v>9.7751710654936444E-3</v>
      </c>
      <c r="V30" s="183" t="str">
        <f t="shared" si="8"/>
        <v/>
      </c>
      <c r="W30" s="183" t="str">
        <f t="shared" ref="W30:W35" si="11">IF(D30="Extracción de Marina Disparo",K30,"")</f>
        <v/>
      </c>
      <c r="X30" s="183" t="str">
        <f t="shared" si="9"/>
        <v/>
      </c>
    </row>
    <row r="31" spans="2:24" ht="38" customHeight="1" x14ac:dyDescent="0.3">
      <c r="B31" s="172"/>
      <c r="C31" s="173" t="str">
        <f t="shared" ref="C31:C33" si="12">+C30</f>
        <v>Ciclo Minero 5,2 x 5,6 m
Galería Acceso Portal de Servicio</v>
      </c>
      <c r="D31" s="173" t="s">
        <v>173</v>
      </c>
      <c r="E31" s="172" t="s">
        <v>6</v>
      </c>
      <c r="F31" s="172" t="s">
        <v>166</v>
      </c>
      <c r="G31" s="172" t="s">
        <v>213</v>
      </c>
      <c r="H31" s="174">
        <v>0.54166666666666663</v>
      </c>
      <c r="I31" s="174">
        <v>0.58333333333333337</v>
      </c>
      <c r="J31" s="175">
        <f t="shared" si="6"/>
        <v>4.1666666666666741E-2</v>
      </c>
      <c r="K31" s="178"/>
      <c r="L31" s="177"/>
      <c r="M31" s="178"/>
      <c r="N31" s="179">
        <v>1</v>
      </c>
      <c r="O31" s="188" t="s">
        <v>267</v>
      </c>
      <c r="P31" s="181"/>
      <c r="Q31" s="174"/>
      <c r="R31" s="174"/>
      <c r="S31" s="175">
        <f t="shared" si="10"/>
        <v>0</v>
      </c>
      <c r="U31" s="187">
        <f>+IFERROR(VLOOKUP(D31,Datos!$R$24:$T$40,3,FALSE), "0")*N31</f>
        <v>4.1055718475073312E-2</v>
      </c>
      <c r="V31" s="183" t="str">
        <f t="shared" si="8"/>
        <v/>
      </c>
      <c r="W31" s="183" t="str">
        <f t="shared" si="11"/>
        <v/>
      </c>
      <c r="X31" s="183" t="str">
        <f t="shared" si="9"/>
        <v/>
      </c>
    </row>
    <row r="32" spans="2:24" ht="38" customHeight="1" x14ac:dyDescent="0.3">
      <c r="B32" s="172"/>
      <c r="C32" s="173" t="str">
        <f t="shared" si="12"/>
        <v>Ciclo Minero 5,2 x 5,6 m
Galería Acceso Portal de Servicio</v>
      </c>
      <c r="D32" s="173" t="s">
        <v>63</v>
      </c>
      <c r="E32" s="172" t="s">
        <v>6</v>
      </c>
      <c r="F32" s="172" t="s">
        <v>166</v>
      </c>
      <c r="G32" s="172" t="s">
        <v>202</v>
      </c>
      <c r="H32" s="174">
        <v>0.65972222222222221</v>
      </c>
      <c r="I32" s="174">
        <v>0.70833333333333337</v>
      </c>
      <c r="J32" s="175">
        <f t="shared" si="6"/>
        <v>4.861111111111116E-2</v>
      </c>
      <c r="K32" s="178">
        <v>15</v>
      </c>
      <c r="L32" s="177" t="s">
        <v>138</v>
      </c>
      <c r="M32" s="178">
        <v>3.8</v>
      </c>
      <c r="N32" s="179">
        <v>0.3</v>
      </c>
      <c r="O32" s="188" t="s">
        <v>268</v>
      </c>
      <c r="P32" s="173"/>
      <c r="Q32" s="172"/>
      <c r="R32" s="172"/>
      <c r="S32" s="175">
        <f t="shared" si="10"/>
        <v>0</v>
      </c>
      <c r="U32" s="187">
        <f>+IFERROR(VLOOKUP(D32,Datos!$R$24:$T$40,3,FALSE), "0")*N32</f>
        <v>3.7829912023460407E-2</v>
      </c>
      <c r="V32" s="183">
        <f t="shared" si="8"/>
        <v>57</v>
      </c>
      <c r="W32" s="183" t="str">
        <f t="shared" si="11"/>
        <v/>
      </c>
      <c r="X32" s="183" t="str">
        <f t="shared" si="9"/>
        <v/>
      </c>
    </row>
    <row r="33" spans="2:24" ht="38" customHeight="1" x14ac:dyDescent="0.3">
      <c r="B33" s="172"/>
      <c r="C33" s="173" t="str">
        <f t="shared" si="12"/>
        <v>Ciclo Minero 5,2 x 5,6 m
Galería Acceso Portal de Servicio</v>
      </c>
      <c r="D33" s="173" t="s">
        <v>57</v>
      </c>
      <c r="E33" s="172" t="s">
        <v>6</v>
      </c>
      <c r="F33" s="172" t="s">
        <v>166</v>
      </c>
      <c r="G33" s="172" t="s">
        <v>202</v>
      </c>
      <c r="H33" s="174">
        <v>0.70833333333333337</v>
      </c>
      <c r="I33" s="174">
        <v>0.75</v>
      </c>
      <c r="J33" s="175">
        <f t="shared" si="6"/>
        <v>4.166666666666663E-2</v>
      </c>
      <c r="K33" s="178">
        <v>15</v>
      </c>
      <c r="L33" s="177" t="s">
        <v>138</v>
      </c>
      <c r="M33" s="178">
        <v>3.8</v>
      </c>
      <c r="N33" s="179">
        <v>0.3</v>
      </c>
      <c r="O33" s="188" t="s">
        <v>269</v>
      </c>
      <c r="P33" s="172"/>
      <c r="Q33" s="172"/>
      <c r="R33" s="172"/>
      <c r="S33" s="175">
        <f t="shared" si="10"/>
        <v>0</v>
      </c>
      <c r="U33" s="187">
        <f>+IFERROR(VLOOKUP(D33,Datos!$R$24:$T$40,3,FALSE), "0")*N33</f>
        <v>2.2287390029325508E-2</v>
      </c>
      <c r="V33" s="183">
        <f t="shared" si="8"/>
        <v>57</v>
      </c>
      <c r="W33" s="183" t="str">
        <f t="shared" si="11"/>
        <v/>
      </c>
      <c r="X33" s="183" t="str">
        <f t="shared" si="9"/>
        <v/>
      </c>
    </row>
    <row r="34" spans="2:24" ht="38" customHeight="1" x14ac:dyDescent="0.3">
      <c r="B34" s="172"/>
      <c r="C34" s="173" t="str">
        <f>+C32</f>
        <v>Ciclo Minero 5,2 x 5,6 m
Galería Acceso Portal de Servicio</v>
      </c>
      <c r="D34" s="173"/>
      <c r="E34" s="172"/>
      <c r="F34" s="172"/>
      <c r="G34" s="172"/>
      <c r="H34" s="174"/>
      <c r="I34" s="172"/>
      <c r="J34" s="175"/>
      <c r="K34" s="178"/>
      <c r="L34" s="177"/>
      <c r="M34" s="178"/>
      <c r="N34" s="179"/>
      <c r="O34" s="188"/>
      <c r="P34" s="172"/>
      <c r="Q34" s="172"/>
      <c r="R34" s="172"/>
      <c r="S34" s="175">
        <f t="shared" si="10"/>
        <v>0</v>
      </c>
      <c r="U34" s="184"/>
      <c r="V34" s="183" t="str">
        <f t="shared" si="8"/>
        <v/>
      </c>
      <c r="W34" s="183" t="str">
        <f t="shared" si="11"/>
        <v/>
      </c>
      <c r="X34" s="183" t="str">
        <f t="shared" si="9"/>
        <v/>
      </c>
    </row>
    <row r="35" spans="2:24" ht="38" customHeight="1" x14ac:dyDescent="0.3">
      <c r="B35" s="172"/>
      <c r="C35" s="173" t="str">
        <f>+C33</f>
        <v>Ciclo Minero 5,2 x 5,6 m
Galería Acceso Portal de Servicio</v>
      </c>
      <c r="D35" s="173"/>
      <c r="E35" s="172"/>
      <c r="F35" s="172"/>
      <c r="G35" s="172"/>
      <c r="H35" s="174"/>
      <c r="I35" s="172"/>
      <c r="J35" s="175">
        <f>SUM(J29:J33)</f>
        <v>0.27777777777777785</v>
      </c>
      <c r="K35" s="178"/>
      <c r="L35" s="177"/>
      <c r="M35" s="178"/>
      <c r="N35" s="179">
        <v>1</v>
      </c>
      <c r="O35" s="188" t="s">
        <v>272</v>
      </c>
      <c r="P35" s="172"/>
      <c r="Q35" s="172"/>
      <c r="R35" s="172"/>
      <c r="S35" s="175">
        <f t="shared" si="10"/>
        <v>0</v>
      </c>
      <c r="U35" s="189">
        <f>+Datos!T27</f>
        <v>5.8651026392961873E-2</v>
      </c>
      <c r="V35" s="183" t="str">
        <f t="shared" si="8"/>
        <v/>
      </c>
      <c r="W35" s="183" t="str">
        <f t="shared" si="11"/>
        <v/>
      </c>
      <c r="X35" s="183" t="str">
        <f t="shared" si="9"/>
        <v/>
      </c>
    </row>
    <row r="36" spans="2:24" ht="15.65" customHeight="1" thickBot="1" x14ac:dyDescent="0.35">
      <c r="B36" s="190"/>
      <c r="C36" s="190"/>
      <c r="D36" s="190"/>
      <c r="E36" s="190"/>
      <c r="F36" s="190"/>
      <c r="G36" s="190"/>
      <c r="H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</row>
    <row r="37" spans="2:24" ht="30" customHeight="1" thickBot="1" x14ac:dyDescent="0.35">
      <c r="B37" s="191"/>
      <c r="C37" s="446" t="s">
        <v>64</v>
      </c>
      <c r="D37" s="446"/>
      <c r="E37" s="192"/>
      <c r="F37" s="192"/>
      <c r="G37" s="431">
        <v>3500</v>
      </c>
      <c r="H37" s="432"/>
      <c r="I37" s="431">
        <v>3700</v>
      </c>
      <c r="J37" s="432"/>
      <c r="K37" s="433" t="s">
        <v>146</v>
      </c>
      <c r="L37" s="434"/>
      <c r="M37" s="190"/>
      <c r="N37" s="190"/>
      <c r="O37" s="190"/>
      <c r="P37" s="190"/>
      <c r="Q37" s="190"/>
      <c r="R37" s="190"/>
      <c r="S37" s="190"/>
    </row>
    <row r="38" spans="2:24" ht="30" customHeight="1" x14ac:dyDescent="0.3">
      <c r="C38" s="194" t="s">
        <v>48</v>
      </c>
      <c r="D38" s="195">
        <f>SUMPRODUCT((LEFT(F21:F33, 1)="C") / (COUNTIF(F21:F33, F21:F33 &amp; "") + (F21:F33="")))</f>
        <v>0</v>
      </c>
      <c r="E38" s="447" t="s">
        <v>90</v>
      </c>
      <c r="F38" s="447"/>
      <c r="G38" s="196">
        <v>0.26041666666666669</v>
      </c>
      <c r="H38" s="197" t="s">
        <v>23</v>
      </c>
      <c r="I38" s="196">
        <v>0.26041666666666669</v>
      </c>
      <c r="J38" s="197" t="s">
        <v>23</v>
      </c>
      <c r="K38" s="198">
        <f>+G38</f>
        <v>0.26041666666666669</v>
      </c>
      <c r="L38" s="197" t="s">
        <v>23</v>
      </c>
      <c r="M38" s="190"/>
      <c r="N38" s="190"/>
      <c r="O38" s="190"/>
      <c r="P38" s="190"/>
      <c r="Q38" s="190"/>
      <c r="R38" s="190"/>
      <c r="S38" s="190"/>
    </row>
    <row r="39" spans="2:24" x14ac:dyDescent="0.3">
      <c r="C39" s="194" t="s">
        <v>49</v>
      </c>
      <c r="D39" s="195">
        <f>SUMPRODUCT((LEFT(F21:F33, 1)="O") / (COUNTIF(F21:F33, F21:F33 &amp; "") + (F21:F33="")))</f>
        <v>0</v>
      </c>
      <c r="E39" s="448" t="s">
        <v>198</v>
      </c>
      <c r="F39" s="448"/>
      <c r="G39" s="199">
        <f>SUM(J21:J26)</f>
        <v>0.79166666666666674</v>
      </c>
      <c r="H39" s="200">
        <f>+G39*24/($G$38*24)</f>
        <v>3.04</v>
      </c>
      <c r="I39" s="199">
        <f>SUM(J29:J33)</f>
        <v>0.27777777777777785</v>
      </c>
      <c r="J39" s="200">
        <f>+I39*24/($I$38*24)</f>
        <v>1.0666666666666669</v>
      </c>
      <c r="K39" s="201">
        <f>AVERAGE(G39+I39)/2</f>
        <v>0.53472222222222232</v>
      </c>
      <c r="L39" s="200">
        <f>+K39*24/($K$38*24)</f>
        <v>2.0533333333333337</v>
      </c>
      <c r="M39" s="190"/>
      <c r="N39" s="190"/>
      <c r="O39" s="190"/>
      <c r="P39" s="190"/>
      <c r="Q39" s="190"/>
      <c r="R39" s="190"/>
      <c r="S39" s="190"/>
    </row>
    <row r="40" spans="2:24" ht="43.25" customHeight="1" thickBot="1" x14ac:dyDescent="0.35">
      <c r="E40" s="448" t="s">
        <v>94</v>
      </c>
      <c r="F40" s="448"/>
      <c r="G40" s="202"/>
      <c r="H40" s="203">
        <f>+AVERAGE(N21:N26)</f>
        <v>0.56379310344827582</v>
      </c>
      <c r="I40" s="202"/>
      <c r="J40" s="203">
        <f>+AVERAGE(N29:N33)</f>
        <v>0.72</v>
      </c>
      <c r="K40" s="204"/>
      <c r="L40" s="203">
        <f>+AVERAGE(N21:N33)</f>
        <v>0.65057471264367805</v>
      </c>
    </row>
    <row r="41" spans="2:24" ht="43.25" customHeight="1" x14ac:dyDescent="0.3">
      <c r="E41" s="205"/>
      <c r="F41" s="205"/>
      <c r="G41" s="206"/>
      <c r="H41" s="206"/>
      <c r="I41" s="137"/>
      <c r="J41" s="137"/>
      <c r="K41" s="137"/>
      <c r="L41" s="137"/>
    </row>
    <row r="42" spans="2:24" ht="43.25" customHeight="1" x14ac:dyDescent="0.3">
      <c r="E42" s="194"/>
      <c r="F42" s="194"/>
      <c r="G42" s="207"/>
      <c r="H42" s="208" t="s">
        <v>24</v>
      </c>
      <c r="I42" s="208" t="s">
        <v>199</v>
      </c>
      <c r="J42" s="208" t="s">
        <v>201</v>
      </c>
      <c r="K42" s="208" t="s">
        <v>258</v>
      </c>
      <c r="L42" s="345" t="s">
        <v>484</v>
      </c>
      <c r="M42" s="345" t="s">
        <v>485</v>
      </c>
      <c r="N42" s="208"/>
    </row>
    <row r="43" spans="2:24" ht="14.5" x14ac:dyDescent="0.35">
      <c r="E43" s="445" t="s">
        <v>174</v>
      </c>
      <c r="F43" s="445"/>
      <c r="G43" s="445"/>
      <c r="H43" s="209">
        <f>SUMPRODUCT(N29:N35 * U29:U35 * (N29:N35&lt;&gt;"") * (U29:U35&lt;&gt;""))</f>
        <v>0.18323558162267839</v>
      </c>
      <c r="I43" s="210">
        <f>+H43*$J$43*$K$43</f>
        <v>4.1359935483870967</v>
      </c>
      <c r="J43" s="211">
        <v>6.6</v>
      </c>
      <c r="K43" s="226">
        <v>3.42</v>
      </c>
      <c r="L43" s="344">
        <v>56.080975609756102</v>
      </c>
      <c r="M43" s="344">
        <f>+L43*K43*H43</f>
        <v>35.144023228667479</v>
      </c>
    </row>
    <row r="44" spans="2:24" ht="14.4" customHeight="1" x14ac:dyDescent="0.35">
      <c r="E44" s="445" t="s">
        <v>175</v>
      </c>
      <c r="F44" s="445"/>
      <c r="G44" s="445"/>
      <c r="H44" s="209">
        <f>+SUMPRODUCT(N21:N26 * U21:U26 * (N21:N26&lt;&gt;"") * (U21:U26&lt;&gt;""))</f>
        <v>0.16253638233895618</v>
      </c>
      <c r="I44" s="210">
        <f>+H44*$J$44*$K$44</f>
        <v>6.5593182456709158</v>
      </c>
      <c r="J44" s="211">
        <v>11.8</v>
      </c>
      <c r="K44" s="226">
        <v>3.42</v>
      </c>
      <c r="L44" s="344">
        <v>118.52055555555555</v>
      </c>
      <c r="M44" s="344">
        <f>+L44*K44*H44</f>
        <v>65.882545978187196</v>
      </c>
    </row>
    <row r="45" spans="2:24" ht="14.4" customHeight="1" x14ac:dyDescent="0.35">
      <c r="E45" s="445" t="s">
        <v>224</v>
      </c>
      <c r="F45" s="445"/>
      <c r="G45" s="445"/>
      <c r="H45" s="209"/>
      <c r="I45" s="210">
        <f>+J45*K45</f>
        <v>6.11373312</v>
      </c>
      <c r="J45" s="214">
        <f>1892/1000000</f>
        <v>1.892E-3</v>
      </c>
      <c r="K45" s="215">
        <f>+((15*4.4)*2.72)*18</f>
        <v>3231.36</v>
      </c>
      <c r="L45" s="346">
        <v>1.6919982016368774E-2</v>
      </c>
      <c r="M45" s="344">
        <f>+L45*K45</f>
        <v>54.674553088413404</v>
      </c>
    </row>
    <row r="46" spans="2:24" ht="14.4" customHeight="1" x14ac:dyDescent="0.35">
      <c r="E46" s="445" t="s">
        <v>225</v>
      </c>
      <c r="F46" s="445"/>
      <c r="G46" s="445"/>
      <c r="H46" s="209"/>
      <c r="I46" s="210">
        <f>+J46*K46</f>
        <v>0</v>
      </c>
      <c r="J46" s="214">
        <f>+J45</f>
        <v>1.892E-3</v>
      </c>
      <c r="K46" s="226">
        <f>+((15*2.8)*2.72)*0</f>
        <v>0</v>
      </c>
      <c r="L46" s="346">
        <v>1.6909997294111807E-2</v>
      </c>
      <c r="M46" s="344">
        <f>+L46*K46</f>
        <v>0</v>
      </c>
    </row>
    <row r="47" spans="2:24" ht="14.4" customHeight="1" x14ac:dyDescent="0.35">
      <c r="E47" s="445" t="s">
        <v>236</v>
      </c>
      <c r="F47" s="445"/>
      <c r="G47" s="445"/>
      <c r="H47" s="209"/>
      <c r="I47" s="210">
        <f>+J47*K47</f>
        <v>0</v>
      </c>
      <c r="J47" s="214">
        <f>25508/1000000</f>
        <v>2.5507999999999999E-2</v>
      </c>
      <c r="K47" s="226">
        <f>14.43*0</f>
        <v>0</v>
      </c>
      <c r="L47" s="347" t="s">
        <v>486</v>
      </c>
      <c r="M47" s="349"/>
    </row>
    <row r="48" spans="2:24" ht="13.5" thickBot="1" x14ac:dyDescent="0.35">
      <c r="M48" s="352">
        <f>SUM(M43:M47)</f>
        <v>155.70112229526808</v>
      </c>
    </row>
    <row r="49" spans="2:10" ht="30" customHeight="1" thickBot="1" x14ac:dyDescent="0.35">
      <c r="B49" s="191"/>
      <c r="C49" s="446" t="s">
        <v>88</v>
      </c>
      <c r="D49" s="446"/>
      <c r="E49" s="192"/>
      <c r="F49" s="192"/>
      <c r="G49" s="192"/>
      <c r="H49" s="192"/>
      <c r="I49" s="216"/>
      <c r="J49" s="193"/>
    </row>
    <row r="50" spans="2:10" ht="38" customHeight="1" x14ac:dyDescent="0.3">
      <c r="C50" s="217" t="s">
        <v>89</v>
      </c>
      <c r="D50" s="195">
        <f>SUMPRODUCT((LEFT(G21:G33, 5)="Jumbo") / (COUNTIF(G21:G33, G21:G33 &amp; "") + (G21:G33="")))</f>
        <v>2</v>
      </c>
      <c r="E50" s="447" t="s">
        <v>90</v>
      </c>
      <c r="F50" s="447"/>
      <c r="G50" s="218">
        <v>0.20833333333333334</v>
      </c>
      <c r="I50" s="139"/>
      <c r="J50" s="190"/>
    </row>
    <row r="51" spans="2:10" ht="38" customHeight="1" x14ac:dyDescent="0.3">
      <c r="E51" s="447" t="s">
        <v>93</v>
      </c>
      <c r="F51" s="447"/>
      <c r="G51" s="195">
        <f>15000/(60)</f>
        <v>250</v>
      </c>
      <c r="H51" s="219" t="s">
        <v>143</v>
      </c>
      <c r="I51" s="139"/>
      <c r="J51" s="190"/>
    </row>
    <row r="52" spans="2:10" ht="38" customHeight="1" x14ac:dyDescent="0.3">
      <c r="E52" s="448" t="s">
        <v>91</v>
      </c>
      <c r="F52" s="448"/>
      <c r="G52" s="207">
        <f>+SUM(SUMIF($G$21:$G$33, "Jumbo*", $J$21:$J$33))/SUMPRODUCT((LEFT(G21:G33, 5)="Jumbo") / (COUNTIF(G21:G33, G21:G33 &amp; "") + (G21:G33="")))</f>
        <v>0.1388888888888889</v>
      </c>
      <c r="H52" s="220">
        <f>+G52*24/($G$50*24)</f>
        <v>0.66666666666666674</v>
      </c>
      <c r="I52" s="190"/>
      <c r="J52" s="190"/>
    </row>
    <row r="53" spans="2:10" ht="38" customHeight="1" x14ac:dyDescent="0.3">
      <c r="E53" s="448" t="s">
        <v>92</v>
      </c>
      <c r="F53" s="448"/>
      <c r="G53" s="221">
        <f>+SUM(V21:V33)/D50</f>
        <v>173</v>
      </c>
      <c r="H53" s="220">
        <f>+G53/G51</f>
        <v>0.69199999999999995</v>
      </c>
      <c r="I53" s="190"/>
      <c r="J53" s="190"/>
    </row>
    <row r="54" spans="2:10" ht="38" customHeight="1" x14ac:dyDescent="0.3">
      <c r="G54" s="222" t="s">
        <v>87</v>
      </c>
      <c r="H54" s="139" t="s">
        <v>23</v>
      </c>
    </row>
    <row r="55" spans="2:10" ht="20" customHeight="1" x14ac:dyDescent="0.3">
      <c r="F55" s="208" t="s">
        <v>65</v>
      </c>
      <c r="G55" s="221">
        <f t="shared" ref="G55:G60" si="13" xml:space="preserve"> SUMIF($G$21:$G$33, +F55,$V$21:$V$33)</f>
        <v>0</v>
      </c>
      <c r="H55" s="220">
        <f t="shared" ref="H55:H60" si="14">+G55/$G$51</f>
        <v>0</v>
      </c>
    </row>
    <row r="56" spans="2:10" ht="20" customHeight="1" x14ac:dyDescent="0.3">
      <c r="F56" s="208" t="s">
        <v>66</v>
      </c>
      <c r="G56" s="221">
        <f t="shared" si="13"/>
        <v>0</v>
      </c>
      <c r="H56" s="220">
        <f t="shared" si="14"/>
        <v>0</v>
      </c>
    </row>
    <row r="57" spans="2:10" ht="20" customHeight="1" x14ac:dyDescent="0.3">
      <c r="F57" s="208" t="s">
        <v>67</v>
      </c>
      <c r="G57" s="221">
        <f t="shared" si="13"/>
        <v>0</v>
      </c>
      <c r="H57" s="220">
        <f t="shared" si="14"/>
        <v>0</v>
      </c>
    </row>
    <row r="58" spans="2:10" ht="20" customHeight="1" x14ac:dyDescent="0.3">
      <c r="F58" s="208" t="s">
        <v>68</v>
      </c>
      <c r="G58" s="221">
        <f t="shared" si="13"/>
        <v>0</v>
      </c>
      <c r="H58" s="220">
        <f t="shared" si="14"/>
        <v>0</v>
      </c>
    </row>
    <row r="59" spans="2:10" ht="20" customHeight="1" x14ac:dyDescent="0.3">
      <c r="F59" s="208" t="s">
        <v>69</v>
      </c>
      <c r="G59" s="221">
        <f t="shared" si="13"/>
        <v>0</v>
      </c>
      <c r="H59" s="220">
        <f t="shared" si="14"/>
        <v>0</v>
      </c>
    </row>
    <row r="60" spans="2:10" ht="20" customHeight="1" x14ac:dyDescent="0.3">
      <c r="F60" s="208" t="s">
        <v>70</v>
      </c>
      <c r="G60" s="221">
        <f t="shared" si="13"/>
        <v>0</v>
      </c>
      <c r="H60" s="220">
        <f t="shared" si="14"/>
        <v>0</v>
      </c>
    </row>
    <row r="61" spans="2:10" ht="20" customHeight="1" x14ac:dyDescent="0.3">
      <c r="F61" s="208" t="s">
        <v>146</v>
      </c>
      <c r="G61" s="223">
        <f>+SUM(G55:G60)</f>
        <v>0</v>
      </c>
      <c r="H61" s="220">
        <f>+G61/($G$51*$D$50)</f>
        <v>0</v>
      </c>
    </row>
    <row r="62" spans="2:10" ht="13.5" thickBot="1" x14ac:dyDescent="0.35"/>
    <row r="63" spans="2:10" ht="30" customHeight="1" thickBot="1" x14ac:dyDescent="0.35">
      <c r="B63" s="191"/>
      <c r="C63" s="446" t="s">
        <v>107</v>
      </c>
      <c r="D63" s="446"/>
      <c r="E63" s="192"/>
      <c r="F63" s="192"/>
      <c r="G63" s="192"/>
      <c r="H63" s="192"/>
      <c r="I63" s="216"/>
      <c r="J63" s="193"/>
    </row>
    <row r="64" spans="2:10" ht="38" customHeight="1" x14ac:dyDescent="0.3">
      <c r="C64" s="208" t="s">
        <v>95</v>
      </c>
      <c r="D64" s="195">
        <f>SUMPRODUCT((LEFT(G21:G33, 5)="Scoop") / (COUNTIF(G21:G33, G21:G33 &amp; "") + (G21:G33="")))</f>
        <v>1</v>
      </c>
      <c r="E64" s="447" t="s">
        <v>90</v>
      </c>
      <c r="F64" s="447"/>
      <c r="G64" s="218">
        <v>0.20833333333333334</v>
      </c>
      <c r="I64" s="139"/>
      <c r="J64" s="190"/>
    </row>
    <row r="65" spans="2:10" ht="38" customHeight="1" x14ac:dyDescent="0.3">
      <c r="C65" s="208" t="s">
        <v>145</v>
      </c>
      <c r="D65" s="195">
        <v>4.9000000000000004</v>
      </c>
      <c r="E65" s="447" t="s">
        <v>97</v>
      </c>
      <c r="F65" s="447"/>
      <c r="G65" s="195">
        <f>15000/(60)</f>
        <v>250</v>
      </c>
      <c r="H65" s="219" t="s">
        <v>23</v>
      </c>
      <c r="I65" s="139"/>
      <c r="J65" s="190"/>
    </row>
    <row r="66" spans="2:10" ht="38" customHeight="1" x14ac:dyDescent="0.3">
      <c r="E66" s="448" t="s">
        <v>98</v>
      </c>
      <c r="F66" s="448"/>
      <c r="G66" s="207">
        <f>+SUM(SUMIF($G$21:$G$33, "Scoop*", $J$21:$J$33))/SUMPRODUCT((LEFT(G21:G33, 5)="Scoop") / (COUNTIF(G21:G33, G21:G33 &amp; "") + (G21:G33="")))</f>
        <v>8.333333333333337E-2</v>
      </c>
      <c r="H66" s="220">
        <f>+G66*24/($G$64*24)</f>
        <v>0.40000000000000019</v>
      </c>
      <c r="I66" s="190"/>
      <c r="J66" s="190"/>
    </row>
    <row r="67" spans="2:10" ht="38" customHeight="1" x14ac:dyDescent="0.3">
      <c r="E67" s="448" t="s">
        <v>99</v>
      </c>
      <c r="F67" s="448"/>
      <c r="G67" s="221">
        <f>+SUM(W21:W33)*D65/D64</f>
        <v>0</v>
      </c>
      <c r="H67" s="220">
        <f>+G67/G65</f>
        <v>0</v>
      </c>
      <c r="I67" s="190"/>
      <c r="J67" s="190"/>
    </row>
    <row r="68" spans="2:10" ht="38" customHeight="1" x14ac:dyDescent="0.3">
      <c r="G68" s="222" t="s">
        <v>96</v>
      </c>
      <c r="H68" s="139" t="s">
        <v>23</v>
      </c>
    </row>
    <row r="69" spans="2:10" ht="20" customHeight="1" x14ac:dyDescent="0.3">
      <c r="F69" s="208" t="s">
        <v>71</v>
      </c>
      <c r="G69" s="221">
        <f t="shared" ref="G69:G74" si="15" xml:space="preserve"> SUMIF($G$21:$G$33, +F69,$W$21:$W$33)*$D$65</f>
        <v>0</v>
      </c>
      <c r="H69" s="220">
        <f>+G69/$G$65</f>
        <v>0</v>
      </c>
    </row>
    <row r="70" spans="2:10" ht="20" customHeight="1" x14ac:dyDescent="0.3">
      <c r="F70" s="208" t="s">
        <v>72</v>
      </c>
      <c r="G70" s="221">
        <f t="shared" si="15"/>
        <v>0</v>
      </c>
      <c r="H70" s="220">
        <f t="shared" ref="H70:H75" si="16">+G70/$G$65</f>
        <v>0</v>
      </c>
    </row>
    <row r="71" spans="2:10" ht="20" customHeight="1" x14ac:dyDescent="0.3">
      <c r="F71" s="208" t="s">
        <v>73</v>
      </c>
      <c r="G71" s="221">
        <f t="shared" si="15"/>
        <v>0</v>
      </c>
      <c r="H71" s="220">
        <f t="shared" si="16"/>
        <v>0</v>
      </c>
    </row>
    <row r="72" spans="2:10" ht="20" customHeight="1" x14ac:dyDescent="0.3">
      <c r="F72" s="208" t="s">
        <v>74</v>
      </c>
      <c r="G72" s="221">
        <f t="shared" si="15"/>
        <v>0</v>
      </c>
      <c r="H72" s="220">
        <f t="shared" si="16"/>
        <v>0</v>
      </c>
    </row>
    <row r="73" spans="2:10" ht="20" customHeight="1" x14ac:dyDescent="0.3">
      <c r="F73" s="208" t="s">
        <v>75</v>
      </c>
      <c r="G73" s="221">
        <f t="shared" si="15"/>
        <v>0</v>
      </c>
      <c r="H73" s="220">
        <f t="shared" si="16"/>
        <v>0</v>
      </c>
    </row>
    <row r="74" spans="2:10" ht="20" customHeight="1" x14ac:dyDescent="0.3">
      <c r="F74" s="208" t="s">
        <v>76</v>
      </c>
      <c r="G74" s="221">
        <f t="shared" si="15"/>
        <v>0</v>
      </c>
      <c r="H74" s="220">
        <f t="shared" si="16"/>
        <v>0</v>
      </c>
    </row>
    <row r="75" spans="2:10" ht="20" customHeight="1" x14ac:dyDescent="0.3">
      <c r="F75" s="208" t="s">
        <v>146</v>
      </c>
      <c r="G75" s="223">
        <f>+SUM(G69:G74)</f>
        <v>0</v>
      </c>
      <c r="H75" s="220">
        <f t="shared" si="16"/>
        <v>0</v>
      </c>
    </row>
    <row r="76" spans="2:10" ht="13.5" thickBot="1" x14ac:dyDescent="0.35"/>
    <row r="77" spans="2:10" ht="30" customHeight="1" thickBot="1" x14ac:dyDescent="0.35">
      <c r="B77" s="191"/>
      <c r="C77" s="446" t="s">
        <v>149</v>
      </c>
      <c r="D77" s="446"/>
      <c r="E77" s="192"/>
      <c r="F77" s="192"/>
      <c r="G77" s="192"/>
      <c r="H77" s="192"/>
      <c r="I77" s="216"/>
      <c r="J77" s="193"/>
    </row>
    <row r="78" spans="2:10" ht="25.25" customHeight="1" x14ac:dyDescent="0.3">
      <c r="C78" s="208" t="s">
        <v>150</v>
      </c>
      <c r="D78" s="195">
        <f>SUMPRODUCT((LEFT(G21:G33, 8)="Roboshot") / (COUNTIF(G21:G33, G21:G33 &amp; "") + (G21:G33="")))</f>
        <v>0</v>
      </c>
      <c r="E78" s="447" t="s">
        <v>90</v>
      </c>
      <c r="F78" s="447"/>
      <c r="G78" s="218">
        <v>0.20833333333333334</v>
      </c>
    </row>
    <row r="79" spans="2:10" x14ac:dyDescent="0.3">
      <c r="C79" s="208"/>
      <c r="D79" s="195"/>
      <c r="E79" s="447" t="s">
        <v>97</v>
      </c>
      <c r="F79" s="447"/>
      <c r="G79" s="195">
        <v>12</v>
      </c>
      <c r="H79" s="219" t="s">
        <v>23</v>
      </c>
    </row>
    <row r="81" spans="6:8" x14ac:dyDescent="0.3">
      <c r="G81" s="222" t="s">
        <v>96</v>
      </c>
      <c r="H81" s="139" t="s">
        <v>23</v>
      </c>
    </row>
    <row r="82" spans="6:8" x14ac:dyDescent="0.3">
      <c r="F82" s="208" t="s">
        <v>77</v>
      </c>
      <c r="G82" s="221">
        <f xml:space="preserve"> SUMIF($G$21:$G$33, +F82,$X$21:$X$33)</f>
        <v>0</v>
      </c>
      <c r="H82" s="220">
        <f>+G82/$G$79</f>
        <v>0</v>
      </c>
    </row>
    <row r="83" spans="6:8" x14ac:dyDescent="0.3">
      <c r="F83" s="208" t="s">
        <v>78</v>
      </c>
      <c r="G83" s="221">
        <f xml:space="preserve"> SUMIF($G$21:$G$33, +F83,$X$21:$X$33)</f>
        <v>0</v>
      </c>
      <c r="H83" s="220">
        <f t="shared" ref="H83:H84" si="17">+G83/$G$79</f>
        <v>0</v>
      </c>
    </row>
    <row r="84" spans="6:8" x14ac:dyDescent="0.3">
      <c r="F84" s="208" t="s">
        <v>79</v>
      </c>
      <c r="G84" s="221">
        <f xml:space="preserve"> SUMIF($G$21:$G$33, +F84,$X$21:$X$33)</f>
        <v>0</v>
      </c>
      <c r="H84" s="220">
        <f t="shared" si="17"/>
        <v>0</v>
      </c>
    </row>
    <row r="85" spans="6:8" x14ac:dyDescent="0.3">
      <c r="F85" s="208" t="s">
        <v>146</v>
      </c>
      <c r="G85" s="223">
        <f>+SUM(G82:G84)</f>
        <v>0</v>
      </c>
      <c r="H85" s="220">
        <f>+G85/$G$79</f>
        <v>0</v>
      </c>
    </row>
  </sheetData>
  <mergeCells count="36">
    <mergeCell ref="E79:F79"/>
    <mergeCell ref="E53:F53"/>
    <mergeCell ref="C63:D63"/>
    <mergeCell ref="E64:F64"/>
    <mergeCell ref="E65:F65"/>
    <mergeCell ref="E66:F66"/>
    <mergeCell ref="E67:F67"/>
    <mergeCell ref="C49:D49"/>
    <mergeCell ref="E50:F50"/>
    <mergeCell ref="E51:F51"/>
    <mergeCell ref="C77:D77"/>
    <mergeCell ref="E78:F78"/>
    <mergeCell ref="E52:F52"/>
    <mergeCell ref="E45:G45"/>
    <mergeCell ref="E46:G46"/>
    <mergeCell ref="E47:G47"/>
    <mergeCell ref="C37:D37"/>
    <mergeCell ref="G37:H37"/>
    <mergeCell ref="E38:F38"/>
    <mergeCell ref="E39:F39"/>
    <mergeCell ref="E40:F40"/>
    <mergeCell ref="E43:G43"/>
    <mergeCell ref="E44:G44"/>
    <mergeCell ref="I37:J37"/>
    <mergeCell ref="K37:L37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39:H40 J39:J40">
    <cfRule type="cellIs" dxfId="1007" priority="13" operator="greaterThan">
      <formula>0.9</formula>
    </cfRule>
    <cfRule type="cellIs" dxfId="1006" priority="14" operator="between">
      <formula>0.81</formula>
      <formula>0.89</formula>
    </cfRule>
    <cfRule type="cellIs" dxfId="1005" priority="15" operator="lessThan">
      <formula>0.8</formula>
    </cfRule>
  </conditionalFormatting>
  <conditionalFormatting sqref="H52:H53">
    <cfRule type="cellIs" dxfId="1004" priority="16" operator="greaterThan">
      <formula>0.9</formula>
    </cfRule>
    <cfRule type="cellIs" dxfId="1003" priority="17" operator="between">
      <formula>0.81</formula>
      <formula>0.89</formula>
    </cfRule>
    <cfRule type="cellIs" dxfId="1002" priority="18" operator="lessThan">
      <formula>0.8</formula>
    </cfRule>
  </conditionalFormatting>
  <conditionalFormatting sqref="H55:H61">
    <cfRule type="cellIs" dxfId="1001" priority="19" operator="greaterThan">
      <formula>0.9</formula>
    </cfRule>
    <cfRule type="cellIs" dxfId="1000" priority="20" operator="between">
      <formula>0.81</formula>
      <formula>0.89</formula>
    </cfRule>
    <cfRule type="cellIs" dxfId="999" priority="21" operator="lessThan">
      <formula>0.8</formula>
    </cfRule>
  </conditionalFormatting>
  <conditionalFormatting sqref="H66:H67">
    <cfRule type="cellIs" dxfId="998" priority="7" operator="greaterThan">
      <formula>0.9</formula>
    </cfRule>
    <cfRule type="cellIs" dxfId="997" priority="8" operator="between">
      <formula>0.81</formula>
      <formula>0.89</formula>
    </cfRule>
    <cfRule type="cellIs" dxfId="996" priority="9" operator="lessThan">
      <formula>0.8</formula>
    </cfRule>
  </conditionalFormatting>
  <conditionalFormatting sqref="H69:H75">
    <cfRule type="cellIs" dxfId="995" priority="10" operator="greaterThan">
      <formula>0.9</formula>
    </cfRule>
    <cfRule type="cellIs" dxfId="994" priority="11" operator="between">
      <formula>0.81</formula>
      <formula>0.89</formula>
    </cfRule>
    <cfRule type="cellIs" dxfId="993" priority="12" operator="lessThan">
      <formula>0.8</formula>
    </cfRule>
  </conditionalFormatting>
  <conditionalFormatting sqref="H82:H85">
    <cfRule type="cellIs" dxfId="992" priority="4" operator="greaterThan">
      <formula>0.9</formula>
    </cfRule>
    <cfRule type="cellIs" dxfId="991" priority="5" operator="between">
      <formula>0.81</formula>
      <formula>0.89</formula>
    </cfRule>
    <cfRule type="cellIs" dxfId="990" priority="6" operator="lessThan">
      <formula>0.8</formula>
    </cfRule>
  </conditionalFormatting>
  <conditionalFormatting sqref="L39:L40">
    <cfRule type="cellIs" dxfId="989" priority="1" operator="greaterThan">
      <formula>0.9</formula>
    </cfRule>
    <cfRule type="cellIs" dxfId="988" priority="2" operator="between">
      <formula>0.81</formula>
      <formula>0.89</formula>
    </cfRule>
    <cfRule type="cellIs" dxfId="987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2BD5EAB-F0EB-4F4F-9191-DD05D99565CA}">
          <x14:formula1>
            <xm:f>Datos!$B$3:$B$8</xm:f>
          </x14:formula1>
          <xm:sqref>E29:E35 E21:E26</xm:sqref>
        </x14:dataValidation>
        <x14:dataValidation type="list" allowBlank="1" showInputMessage="1" showErrorMessage="1" xr:uid="{14B29B2D-48E4-4489-B4AB-42D1E76F94C5}">
          <x14:formula1>
            <xm:f>Datos!$D$3:$D$27</xm:f>
          </x14:formula1>
          <xm:sqref>F29:F35 F21:F26</xm:sqref>
        </x14:dataValidation>
        <x14:dataValidation type="list" allowBlank="1" showInputMessage="1" showErrorMessage="1" xr:uid="{3D3C83F4-A9AB-4F1C-973A-56E7BBC7DF3C}">
          <x14:formula1>
            <xm:f>Datos!$W$3:$W$12</xm:f>
          </x14:formula1>
          <xm:sqref>L29:L35 L21:L26</xm:sqref>
        </x14:dataValidation>
        <x14:dataValidation type="list" allowBlank="1" showInputMessage="1" showErrorMessage="1" xr:uid="{A69975D6-5AF6-4F88-ACDF-C6CB432729EA}">
          <x14:formula1>
            <xm:f>Datos!$F$3:$F$41</xm:f>
          </x14:formula1>
          <xm:sqref>G29:G35 G21:G26</xm:sqref>
        </x14:dataValidation>
        <x14:dataValidation type="list" allowBlank="1" showInputMessage="1" showErrorMessage="1" xr:uid="{DD41C858-F695-4A51-94D1-11C7813A8EB9}">
          <x14:formula1>
            <xm:f>Datos!$H$3:$H$34</xm:f>
          </x14:formula1>
          <xm:sqref>D21:D24</xm:sqref>
        </x14:dataValidation>
        <x14:dataValidation type="list" allowBlank="1" showInputMessage="1" showErrorMessage="1" xr:uid="{A0AC09FA-33F2-4181-A8A8-BE6ED37AF3C8}">
          <x14:formula1>
            <xm:f>Datos!$H$3:$H$26</xm:f>
          </x14:formula1>
          <xm:sqref>D25:D26 D32:D35</xm:sqref>
        </x14:dataValidation>
        <x14:dataValidation type="list" allowBlank="1" showInputMessage="1" showErrorMessage="1" xr:uid="{434C7B9B-DA9D-48D0-8BE5-7057890DB72B}">
          <x14:formula1>
            <xm:f>Datos!$H$3:$H$52</xm:f>
          </x14:formula1>
          <xm:sqref>D29:D31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7730-8F75-42A1-BC37-52DD639C00BC}">
  <sheetPr>
    <pageSetUpPr fitToPage="1"/>
  </sheetPr>
  <dimension ref="B1:X85"/>
  <sheetViews>
    <sheetView showGridLines="0" topLeftCell="A19" zoomScale="85" zoomScaleNormal="85" zoomScaleSheetLayoutView="50" workbookViewId="0">
      <pane xSplit="3" ySplit="2" topLeftCell="D31" activePane="bottomRight" state="frozen"/>
      <selection activeCell="A19" sqref="A19"/>
      <selection pane="topRight" activeCell="D19" sqref="D19"/>
      <selection pane="bottomLeft" activeCell="A21" sqref="A21"/>
      <selection pane="bottomRight" activeCell="M49" sqref="M49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19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+G39</f>
        <v>0.37083333333333329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+H40</f>
        <v>0.25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+G75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+G85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38" customHeight="1" x14ac:dyDescent="0.3">
      <c r="B21" s="172"/>
      <c r="C21" s="173" t="str">
        <f>+Datos!$R$2</f>
        <v>Ciclo Minero 10,0 x 7,2 m
Galería Inyección Principal</v>
      </c>
      <c r="D21" s="173" t="s">
        <v>105</v>
      </c>
      <c r="E21" s="172" t="s">
        <v>6</v>
      </c>
      <c r="F21" s="172" t="s">
        <v>165</v>
      </c>
      <c r="G21" s="172" t="s">
        <v>205</v>
      </c>
      <c r="H21" s="174">
        <v>0.91666666666666663</v>
      </c>
      <c r="I21" s="174">
        <v>3.9583333333333331E-2</v>
      </c>
      <c r="J21" s="175">
        <f t="shared" ref="J21:J24" si="0">MOD(I21-H21, 1)</f>
        <v>0.12291666666666667</v>
      </c>
      <c r="K21" s="176">
        <v>17</v>
      </c>
      <c r="L21" s="177" t="s">
        <v>128</v>
      </c>
      <c r="M21" s="178">
        <v>4</v>
      </c>
      <c r="N21" s="179">
        <v>0.2</v>
      </c>
      <c r="O21" s="186" t="s">
        <v>274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/>
      <c r="C22" s="173" t="str">
        <f>+C21</f>
        <v>Ciclo Minero 10,0 x 7,2 m
Galería Inyección Principal</v>
      </c>
      <c r="D22" s="173" t="s">
        <v>52</v>
      </c>
      <c r="E22" s="172" t="s">
        <v>6</v>
      </c>
      <c r="F22" s="172" t="s">
        <v>165</v>
      </c>
      <c r="G22" s="172" t="s">
        <v>212</v>
      </c>
      <c r="H22" s="174">
        <v>0.20833333333333334</v>
      </c>
      <c r="I22" s="174">
        <v>0.27083333333333331</v>
      </c>
      <c r="J22" s="175">
        <f t="shared" si="0"/>
        <v>6.2499999999999972E-2</v>
      </c>
      <c r="K22" s="178">
        <v>65</v>
      </c>
      <c r="L22" s="177" t="s">
        <v>126</v>
      </c>
      <c r="M22" s="178"/>
      <c r="N22" s="179">
        <v>0.3</v>
      </c>
      <c r="O22" s="225" t="s">
        <v>275</v>
      </c>
      <c r="P22" s="181"/>
      <c r="Q22" s="174"/>
      <c r="R22" s="172"/>
      <c r="S22" s="175">
        <f t="shared" ref="S22:S26" si="1">+MOD(R22-Q22,1)</f>
        <v>0</v>
      </c>
      <c r="U22" s="182">
        <f>+IFERROR(VLOOKUP(D22,Datos!$R$3:$T$19,3,FALSE), "0")*N22</f>
        <v>2.0536223616657155E-2</v>
      </c>
      <c r="V22" s="183" t="str">
        <f t="shared" ref="V22:V26" si="2">IF(OR(D22="Perforación de Fortificación", D22="Perforación de Avance", D22="Perforación Desquinche"), K22*M22, "")</f>
        <v/>
      </c>
      <c r="W22" s="183" t="str">
        <f t="shared" ref="W22:W26" si="3">IF(D22="Extracción de Marina Disparo",K22,"")</f>
        <v/>
      </c>
      <c r="X22" s="183" t="str">
        <f t="shared" ref="X22:X26" si="4">IF(OR(D22="Shotcrete", D22="Pre Shotcrete"), K22, "")</f>
        <v/>
      </c>
    </row>
    <row r="23" spans="2:24" ht="38" customHeight="1" x14ac:dyDescent="0.3">
      <c r="B23" s="172"/>
      <c r="C23" s="173" t="str">
        <f t="shared" ref="C23:C24" si="5">+C22</f>
        <v>Ciclo Minero 10,0 x 7,2 m
Galería Inyección Principal</v>
      </c>
      <c r="D23" s="173"/>
      <c r="E23" s="172"/>
      <c r="F23" s="172"/>
      <c r="G23" s="172"/>
      <c r="H23" s="174"/>
      <c r="I23" s="174"/>
      <c r="J23" s="175">
        <f t="shared" si="0"/>
        <v>0</v>
      </c>
      <c r="K23" s="178"/>
      <c r="L23" s="177"/>
      <c r="M23" s="178"/>
      <c r="N23" s="179"/>
      <c r="O23" s="186"/>
      <c r="P23" s="181"/>
      <c r="Q23" s="174"/>
      <c r="R23" s="174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/>
      <c r="C24" s="173" t="str">
        <f t="shared" si="5"/>
        <v>Ciclo Minero 10,0 x 7,2 m
Galería Inyección Principal</v>
      </c>
      <c r="D24" s="173"/>
      <c r="E24" s="172"/>
      <c r="F24" s="172"/>
      <c r="G24" s="172"/>
      <c r="H24" s="174"/>
      <c r="I24" s="174"/>
      <c r="J24" s="175">
        <f t="shared" si="0"/>
        <v>0</v>
      </c>
      <c r="K24" s="178"/>
      <c r="L24" s="177"/>
      <c r="M24" s="178"/>
      <c r="N24" s="179"/>
      <c r="O24" s="225"/>
      <c r="P24" s="181"/>
      <c r="Q24" s="172"/>
      <c r="R24" s="172"/>
      <c r="S24" s="175">
        <f t="shared" si="1"/>
        <v>0</v>
      </c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225"/>
      <c r="P25" s="181"/>
      <c r="Q25" s="172"/>
      <c r="R25" s="172"/>
      <c r="S25" s="175">
        <f t="shared" si="1"/>
        <v>0</v>
      </c>
      <c r="U25" s="182" t="str">
        <f>+IFERROR(VLOOKUP(D25,Datos!$R$3:$T$19,3,FALSE), "0")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>
        <f>SUM(J21:J25)</f>
        <v>0.18541666666666665</v>
      </c>
      <c r="K26" s="178"/>
      <c r="L26" s="177"/>
      <c r="M26" s="178"/>
      <c r="N26" s="179"/>
      <c r="O26" s="225"/>
      <c r="P26" s="172"/>
      <c r="Q26" s="172"/>
      <c r="R26" s="172"/>
      <c r="S26" s="175">
        <f t="shared" si="1"/>
        <v>0</v>
      </c>
      <c r="U26" s="184"/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/>
      <c r="C29" s="173" t="str">
        <f>+Datos!R23</f>
        <v>Ciclo Minero 5,2 x 5,6 m
Galería Acceso Portal de Servicio</v>
      </c>
      <c r="D29" s="173" t="s">
        <v>63</v>
      </c>
      <c r="E29" s="172" t="s">
        <v>6</v>
      </c>
      <c r="F29" s="172" t="s">
        <v>166</v>
      </c>
      <c r="G29" s="172" t="s">
        <v>202</v>
      </c>
      <c r="H29" s="174">
        <v>0.91666666666666663</v>
      </c>
      <c r="I29" s="174">
        <v>0.11458333333333333</v>
      </c>
      <c r="J29" s="175">
        <f t="shared" ref="J29:J30" si="6">MOD(I29-H29, 1)</f>
        <v>0.19791666666666674</v>
      </c>
      <c r="K29" s="178">
        <v>65</v>
      </c>
      <c r="L29" s="177" t="s">
        <v>138</v>
      </c>
      <c r="M29" s="178">
        <v>3.8</v>
      </c>
      <c r="N29" s="179">
        <v>1</v>
      </c>
      <c r="O29" s="188" t="s">
        <v>273</v>
      </c>
      <c r="P29" s="181"/>
      <c r="Q29" s="174"/>
      <c r="R29" s="174"/>
      <c r="S29" s="175">
        <f t="shared" ref="S29" si="7">MOD(R29-Q29, 1)</f>
        <v>0</v>
      </c>
      <c r="U29" s="187">
        <f>+IFERROR(VLOOKUP(D29,Datos!$R$24:$T$40,3,FALSE), "0")*N29</f>
        <v>0.12609970674486803</v>
      </c>
      <c r="V29" s="183">
        <f t="shared" ref="V29:V35" si="8">IF(OR(D29="Perforación de Fortificación", D29="Perforación de Avance", D29="Perforación Desquinche"), K29*M29, "")</f>
        <v>247</v>
      </c>
      <c r="W29" s="183" t="str">
        <f>IF(D29="Extracción de Marina Disparo",K29,"")</f>
        <v/>
      </c>
      <c r="X29" s="183" t="str">
        <f t="shared" ref="X29:X35" si="9">IF(OR(D29="Shotcrete", D29="Pre Shotcrete"), K29, "")</f>
        <v/>
      </c>
    </row>
    <row r="30" spans="2:24" ht="53.4" customHeight="1" x14ac:dyDescent="0.3">
      <c r="B30" s="172"/>
      <c r="C30" s="173" t="str">
        <f>+C29</f>
        <v>Ciclo Minero 5,2 x 5,6 m
Galería Acceso Portal de Servicio</v>
      </c>
      <c r="D30" s="173" t="s">
        <v>227</v>
      </c>
      <c r="E30" s="172" t="s">
        <v>6</v>
      </c>
      <c r="F30" s="172" t="s">
        <v>166</v>
      </c>
      <c r="G30" s="172" t="s">
        <v>211</v>
      </c>
      <c r="H30" s="174">
        <v>0.14583333333333334</v>
      </c>
      <c r="I30" s="174">
        <v>0.25694444444444442</v>
      </c>
      <c r="J30" s="175">
        <f t="shared" si="6"/>
        <v>0.11111111111111108</v>
      </c>
      <c r="K30" s="178">
        <v>80</v>
      </c>
      <c r="L30" s="177" t="s">
        <v>129</v>
      </c>
      <c r="M30" s="178"/>
      <c r="N30" s="179">
        <v>1</v>
      </c>
      <c r="O30" s="188"/>
      <c r="P30" s="172"/>
      <c r="Q30" s="172"/>
      <c r="R30" s="172"/>
      <c r="S30" s="175">
        <f t="shared" ref="S30:S35" si="10">+MOD(R30-Q30,1)</f>
        <v>0</v>
      </c>
      <c r="U30" s="187">
        <f>+IFERROR(VLOOKUP(D30,Datos!$R$24:$T$40,3,FALSE), "0")*N30</f>
        <v>7.2336265884652987E-2</v>
      </c>
      <c r="V30" s="183" t="str">
        <f t="shared" si="8"/>
        <v/>
      </c>
      <c r="W30" s="183" t="str">
        <f t="shared" ref="W30:W35" si="11">IF(D30="Extracción de Marina Disparo",K30,"")</f>
        <v/>
      </c>
      <c r="X30" s="183" t="str">
        <f t="shared" si="9"/>
        <v/>
      </c>
    </row>
    <row r="31" spans="2:24" ht="38" customHeight="1" x14ac:dyDescent="0.3">
      <c r="B31" s="172"/>
      <c r="C31" s="173" t="str">
        <f t="shared" ref="C31:C33" si="12">+C30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188"/>
      <c r="P31" s="181"/>
      <c r="Q31" s="174"/>
      <c r="R31" s="174"/>
      <c r="S31" s="175">
        <f t="shared" si="10"/>
        <v>0</v>
      </c>
      <c r="U31" s="187">
        <f>+IFERROR(VLOOKUP(D31,Datos!$R$24:$T$40,3,FALSE), "0")*N31</f>
        <v>0</v>
      </c>
      <c r="V31" s="183" t="str">
        <f t="shared" si="8"/>
        <v/>
      </c>
      <c r="W31" s="183" t="str">
        <f t="shared" si="11"/>
        <v/>
      </c>
      <c r="X31" s="183" t="str">
        <f t="shared" si="9"/>
        <v/>
      </c>
    </row>
    <row r="32" spans="2:24" ht="38" customHeight="1" x14ac:dyDescent="0.3">
      <c r="B32" s="172"/>
      <c r="C32" s="173" t="str">
        <f t="shared" si="12"/>
        <v>Ciclo Minero 5,2 x 5,6 m
Galería Acceso Portal de Servicio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8"/>
      <c r="P32" s="173"/>
      <c r="Q32" s="172"/>
      <c r="R32" s="172"/>
      <c r="S32" s="175">
        <f t="shared" si="10"/>
        <v>0</v>
      </c>
      <c r="U32" s="187">
        <f>+IFERROR(VLOOKUP(D32,Datos!$R$24:$T$40,3,FALSE), "0")*N32</f>
        <v>0</v>
      </c>
      <c r="V32" s="183" t="str">
        <f t="shared" si="8"/>
        <v/>
      </c>
      <c r="W32" s="183" t="str">
        <f t="shared" si="11"/>
        <v/>
      </c>
      <c r="X32" s="183" t="str">
        <f t="shared" si="9"/>
        <v/>
      </c>
    </row>
    <row r="33" spans="2:24" ht="38" customHeight="1" x14ac:dyDescent="0.3">
      <c r="B33" s="172"/>
      <c r="C33" s="173" t="str">
        <f t="shared" si="12"/>
        <v>Ciclo Minero 5,2 x 5,6 m
Galería Acceso Portal de Servicio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8"/>
      <c r="P33" s="172"/>
      <c r="Q33" s="172"/>
      <c r="R33" s="172"/>
      <c r="S33" s="175">
        <f t="shared" si="10"/>
        <v>0</v>
      </c>
      <c r="U33" s="187">
        <f>+IFERROR(VLOOKUP(D33,Datos!$R$24:$T$40,3,FALSE), "0")*N33</f>
        <v>0</v>
      </c>
      <c r="V33" s="183" t="str">
        <f t="shared" si="8"/>
        <v/>
      </c>
      <c r="W33" s="183" t="str">
        <f t="shared" si="11"/>
        <v/>
      </c>
      <c r="X33" s="183" t="str">
        <f t="shared" si="9"/>
        <v/>
      </c>
    </row>
    <row r="34" spans="2:24" ht="38" customHeight="1" x14ac:dyDescent="0.3">
      <c r="B34" s="172"/>
      <c r="C34" s="173" t="str">
        <f>+C32</f>
        <v>Ciclo Minero 5,2 x 5,6 m
Galería Acceso Portal de Servicio</v>
      </c>
      <c r="D34" s="173"/>
      <c r="E34" s="172"/>
      <c r="F34" s="172"/>
      <c r="G34" s="172"/>
      <c r="H34" s="174"/>
      <c r="I34" s="172"/>
      <c r="J34" s="175"/>
      <c r="K34" s="178"/>
      <c r="L34" s="177"/>
      <c r="M34" s="178"/>
      <c r="N34" s="179"/>
      <c r="O34" s="188"/>
      <c r="P34" s="172"/>
      <c r="Q34" s="172"/>
      <c r="R34" s="172"/>
      <c r="S34" s="175">
        <f t="shared" si="10"/>
        <v>0</v>
      </c>
      <c r="U34" s="184"/>
      <c r="V34" s="183" t="str">
        <f t="shared" si="8"/>
        <v/>
      </c>
      <c r="W34" s="183" t="str">
        <f t="shared" si="11"/>
        <v/>
      </c>
      <c r="X34" s="183" t="str">
        <f t="shared" si="9"/>
        <v/>
      </c>
    </row>
    <row r="35" spans="2:24" ht="38" customHeight="1" x14ac:dyDescent="0.3">
      <c r="B35" s="172"/>
      <c r="C35" s="173" t="str">
        <f>+C33</f>
        <v>Ciclo Minero 5,2 x 5,6 m
Galería Acceso Portal de Servicio</v>
      </c>
      <c r="D35" s="173"/>
      <c r="E35" s="172"/>
      <c r="F35" s="172"/>
      <c r="G35" s="172"/>
      <c r="H35" s="174"/>
      <c r="I35" s="172"/>
      <c r="J35" s="175">
        <f>SUM(J29:J33)</f>
        <v>0.30902777777777779</v>
      </c>
      <c r="K35" s="178"/>
      <c r="L35" s="177"/>
      <c r="M35" s="178"/>
      <c r="N35" s="179"/>
      <c r="O35" s="188"/>
      <c r="P35" s="172"/>
      <c r="Q35" s="172"/>
      <c r="R35" s="172"/>
      <c r="S35" s="175">
        <f t="shared" si="10"/>
        <v>0</v>
      </c>
      <c r="U35" s="189"/>
      <c r="V35" s="183" t="str">
        <f t="shared" si="8"/>
        <v/>
      </c>
      <c r="W35" s="183" t="str">
        <f t="shared" si="11"/>
        <v/>
      </c>
      <c r="X35" s="183" t="str">
        <f t="shared" si="9"/>
        <v/>
      </c>
    </row>
    <row r="36" spans="2:24" ht="15.65" customHeight="1" thickBot="1" x14ac:dyDescent="0.35">
      <c r="B36" s="190"/>
      <c r="C36" s="190"/>
      <c r="D36" s="190"/>
      <c r="E36" s="190"/>
      <c r="F36" s="190"/>
      <c r="G36" s="190"/>
      <c r="H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</row>
    <row r="37" spans="2:24" ht="30" customHeight="1" thickBot="1" x14ac:dyDescent="0.35">
      <c r="B37" s="191"/>
      <c r="C37" s="446" t="s">
        <v>64</v>
      </c>
      <c r="D37" s="446"/>
      <c r="E37" s="192"/>
      <c r="F37" s="192"/>
      <c r="G37" s="431">
        <v>3500</v>
      </c>
      <c r="H37" s="432"/>
      <c r="I37" s="431">
        <v>3700</v>
      </c>
      <c r="J37" s="432"/>
      <c r="K37" s="433" t="s">
        <v>146</v>
      </c>
      <c r="L37" s="434"/>
      <c r="M37" s="190"/>
      <c r="N37" s="190"/>
      <c r="O37" s="190"/>
      <c r="P37" s="190"/>
      <c r="Q37" s="190"/>
      <c r="R37" s="190"/>
      <c r="S37" s="190"/>
    </row>
    <row r="38" spans="2:24" ht="30" customHeight="1" x14ac:dyDescent="0.3">
      <c r="C38" s="194" t="s">
        <v>48</v>
      </c>
      <c r="D38" s="195">
        <f>SUMPRODUCT((LEFT(F21:F33, 1)="C") / (COUNTIF(F21:F33, F21:F33 &amp; "") + (F21:F33="")))</f>
        <v>0</v>
      </c>
      <c r="E38" s="447" t="s">
        <v>90</v>
      </c>
      <c r="F38" s="447"/>
      <c r="G38" s="196">
        <v>0.26041666666666669</v>
      </c>
      <c r="H38" s="197" t="s">
        <v>23</v>
      </c>
      <c r="I38" s="196">
        <v>0.26041666666666669</v>
      </c>
      <c r="J38" s="197" t="s">
        <v>23</v>
      </c>
      <c r="K38" s="198">
        <f>+G38</f>
        <v>0.26041666666666669</v>
      </c>
      <c r="L38" s="197" t="s">
        <v>23</v>
      </c>
      <c r="M38" s="190"/>
      <c r="N38" s="190"/>
      <c r="O38" s="190"/>
      <c r="P38" s="190"/>
      <c r="Q38" s="190"/>
      <c r="R38" s="190"/>
      <c r="S38" s="190"/>
    </row>
    <row r="39" spans="2:24" x14ac:dyDescent="0.3">
      <c r="C39" s="194" t="s">
        <v>49</v>
      </c>
      <c r="D39" s="195">
        <f>SUMPRODUCT((LEFT(F21:F33, 1)="O") / (COUNTIF(F21:F33, F21:F33 &amp; "") + (F21:F33="")))</f>
        <v>0</v>
      </c>
      <c r="E39" s="448" t="s">
        <v>198</v>
      </c>
      <c r="F39" s="448"/>
      <c r="G39" s="199">
        <f>SUM(J21:J26)</f>
        <v>0.37083333333333329</v>
      </c>
      <c r="H39" s="200">
        <f>+G39*24/($G$38*24)</f>
        <v>1.4239999999999997</v>
      </c>
      <c r="I39" s="199">
        <f>SUM(J29:J33)</f>
        <v>0.30902777777777779</v>
      </c>
      <c r="J39" s="200">
        <f>+I39*24/($I$38*24)</f>
        <v>1.1866666666666668</v>
      </c>
      <c r="K39" s="201">
        <f>AVERAGE(G39+I39)/2</f>
        <v>0.33993055555555551</v>
      </c>
      <c r="L39" s="200">
        <f>+K39*24/($K$38*24)</f>
        <v>1.305333333333333</v>
      </c>
      <c r="M39" s="190"/>
      <c r="N39" s="190"/>
      <c r="O39" s="190"/>
      <c r="P39" s="190"/>
      <c r="Q39" s="190"/>
      <c r="R39" s="190"/>
      <c r="S39" s="190"/>
    </row>
    <row r="40" spans="2:24" ht="43.25" customHeight="1" thickBot="1" x14ac:dyDescent="0.35">
      <c r="E40" s="448" t="s">
        <v>94</v>
      </c>
      <c r="F40" s="448"/>
      <c r="G40" s="202"/>
      <c r="H40" s="203">
        <f>+AVERAGE(N21:N26)</f>
        <v>0.25</v>
      </c>
      <c r="I40" s="202"/>
      <c r="J40" s="203">
        <f>+AVERAGE(N29:N33)</f>
        <v>1</v>
      </c>
      <c r="K40" s="204"/>
      <c r="L40" s="203">
        <f>+AVERAGE(N21:N33)</f>
        <v>0.625</v>
      </c>
    </row>
    <row r="41" spans="2:24" ht="43.25" customHeight="1" x14ac:dyDescent="0.3">
      <c r="E41" s="205"/>
      <c r="F41" s="205"/>
      <c r="G41" s="206"/>
      <c r="H41" s="206"/>
      <c r="I41" s="137"/>
      <c r="J41" s="137"/>
      <c r="K41" s="137"/>
      <c r="L41" s="137"/>
    </row>
    <row r="42" spans="2:24" ht="43.25" customHeight="1" x14ac:dyDescent="0.3">
      <c r="E42" s="194"/>
      <c r="F42" s="194"/>
      <c r="G42" s="207"/>
      <c r="H42" s="208" t="s">
        <v>24</v>
      </c>
      <c r="I42" s="208" t="s">
        <v>199</v>
      </c>
      <c r="J42" s="208" t="s">
        <v>201</v>
      </c>
      <c r="K42" s="208" t="s">
        <v>258</v>
      </c>
      <c r="L42" s="345" t="s">
        <v>484</v>
      </c>
      <c r="M42" s="345" t="s">
        <v>485</v>
      </c>
      <c r="N42" s="208"/>
    </row>
    <row r="43" spans="2:24" ht="14.5" x14ac:dyDescent="0.35">
      <c r="E43" s="445" t="s">
        <v>174</v>
      </c>
      <c r="F43" s="445"/>
      <c r="G43" s="445"/>
      <c r="H43" s="209">
        <f>SUMPRODUCT(N29:N35 * U29:U35 * (N29:N35&lt;&gt;"") * (U29:U35&lt;&gt;""))</f>
        <v>0.19843597262952101</v>
      </c>
      <c r="I43" s="210">
        <f>+H43*$J$43*$K$43</f>
        <v>4.4790967741935477</v>
      </c>
      <c r="J43" s="211">
        <v>6.6</v>
      </c>
      <c r="K43" s="226">
        <v>3.42</v>
      </c>
      <c r="L43" s="344">
        <v>56.080975609756102</v>
      </c>
      <c r="M43" s="344">
        <f>+L43*K43*H43</f>
        <v>38.059411658679636</v>
      </c>
    </row>
    <row r="44" spans="2:24" ht="14.4" customHeight="1" x14ac:dyDescent="0.35">
      <c r="E44" s="445" t="s">
        <v>175</v>
      </c>
      <c r="F44" s="445"/>
      <c r="G44" s="445"/>
      <c r="H44" s="209">
        <f>+SUMPRODUCT(N21:N26 * U21:U26 * (N21:N26&lt;&gt;"") * (U21:U26&lt;&gt;""))</f>
        <v>6.160867084997146E-3</v>
      </c>
      <c r="I44" s="210">
        <f>+H44*$J$44*$K$44</f>
        <v>0.24862795208214486</v>
      </c>
      <c r="J44" s="211">
        <v>11.8</v>
      </c>
      <c r="K44" s="226">
        <v>3.42</v>
      </c>
      <c r="L44" s="344">
        <v>118.52055555555555</v>
      </c>
      <c r="M44" s="344">
        <f>+L44*K44*H44</f>
        <v>2.4972477124928685</v>
      </c>
    </row>
    <row r="45" spans="2:24" ht="14.4" customHeight="1" x14ac:dyDescent="0.35">
      <c r="E45" s="445" t="s">
        <v>224</v>
      </c>
      <c r="F45" s="445"/>
      <c r="G45" s="445"/>
      <c r="H45" s="209"/>
      <c r="I45" s="210">
        <f>+J45*K45</f>
        <v>0</v>
      </c>
      <c r="J45" s="214">
        <f>1892/1000000</f>
        <v>1.892E-3</v>
      </c>
      <c r="K45" s="215">
        <f>+((15*4.4)*2.72)*0</f>
        <v>0</v>
      </c>
      <c r="L45" s="346">
        <v>1.6919982016368774E-2</v>
      </c>
      <c r="M45" s="344">
        <f>+L45*K45</f>
        <v>0</v>
      </c>
    </row>
    <row r="46" spans="2:24" ht="14.4" customHeight="1" x14ac:dyDescent="0.35">
      <c r="E46" s="445" t="s">
        <v>225</v>
      </c>
      <c r="F46" s="445"/>
      <c r="G46" s="445"/>
      <c r="H46" s="209"/>
      <c r="I46" s="210">
        <f>+J46*K46</f>
        <v>0</v>
      </c>
      <c r="J46" s="214">
        <f>+J45</f>
        <v>1.892E-3</v>
      </c>
      <c r="K46" s="226">
        <f>+((15*2.8)*2.72)*0</f>
        <v>0</v>
      </c>
      <c r="L46" s="346">
        <v>1.6909997294111807E-2</v>
      </c>
      <c r="M46" s="344">
        <f>+L46*K46</f>
        <v>0</v>
      </c>
    </row>
    <row r="47" spans="2:24" ht="14.4" customHeight="1" x14ac:dyDescent="0.35">
      <c r="E47" s="445" t="s">
        <v>236</v>
      </c>
      <c r="F47" s="445"/>
      <c r="G47" s="445"/>
      <c r="H47" s="209"/>
      <c r="I47" s="210">
        <f>+J47*K47</f>
        <v>0</v>
      </c>
      <c r="J47" s="214">
        <f>25508/1000000</f>
        <v>2.5507999999999999E-2</v>
      </c>
      <c r="K47" s="226">
        <f>14.43*0</f>
        <v>0</v>
      </c>
      <c r="L47" s="347" t="s">
        <v>486</v>
      </c>
      <c r="M47" s="349"/>
    </row>
    <row r="48" spans="2:24" ht="13.5" thickBot="1" x14ac:dyDescent="0.35">
      <c r="M48" s="352">
        <f>SUM(M43:M47)</f>
        <v>40.556659371172508</v>
      </c>
    </row>
    <row r="49" spans="2:10" ht="30" customHeight="1" thickBot="1" x14ac:dyDescent="0.35">
      <c r="B49" s="191"/>
      <c r="C49" s="446" t="s">
        <v>88</v>
      </c>
      <c r="D49" s="446"/>
      <c r="E49" s="192"/>
      <c r="F49" s="192"/>
      <c r="G49" s="192"/>
      <c r="H49" s="192"/>
      <c r="I49" s="216"/>
      <c r="J49" s="193"/>
    </row>
    <row r="50" spans="2:10" ht="38" customHeight="1" x14ac:dyDescent="0.3">
      <c r="C50" s="217" t="s">
        <v>89</v>
      </c>
      <c r="D50" s="195">
        <f>SUMPRODUCT((LEFT(G21:G33, 5)="Jumbo") / (COUNTIF(G21:G33, G21:G33 &amp; "") + (G21:G33="")))</f>
        <v>1</v>
      </c>
      <c r="E50" s="447" t="s">
        <v>90</v>
      </c>
      <c r="F50" s="447"/>
      <c r="G50" s="218">
        <v>0.20833333333333334</v>
      </c>
      <c r="I50" s="139"/>
      <c r="J50" s="190"/>
    </row>
    <row r="51" spans="2:10" ht="38" customHeight="1" x14ac:dyDescent="0.3">
      <c r="E51" s="447" t="s">
        <v>93</v>
      </c>
      <c r="F51" s="447"/>
      <c r="G51" s="195">
        <f>15000/(60)</f>
        <v>250</v>
      </c>
      <c r="H51" s="219" t="s">
        <v>143</v>
      </c>
      <c r="I51" s="139"/>
      <c r="J51" s="190"/>
    </row>
    <row r="52" spans="2:10" ht="38" customHeight="1" x14ac:dyDescent="0.3">
      <c r="E52" s="448" t="s">
        <v>91</v>
      </c>
      <c r="F52" s="448"/>
      <c r="G52" s="207">
        <f>+SUM(SUMIF($G$21:$G$33, "Jumbo*", $J$21:$J$33))/SUMPRODUCT((LEFT(G21:G33, 5)="Jumbo") / (COUNTIF(G21:G33, G21:G33 &amp; "") + (G21:G33="")))</f>
        <v>0.19791666666666674</v>
      </c>
      <c r="H52" s="220">
        <f>+G52*24/($G$50*24)</f>
        <v>0.9500000000000004</v>
      </c>
      <c r="I52" s="190"/>
      <c r="J52" s="190"/>
    </row>
    <row r="53" spans="2:10" ht="38" customHeight="1" x14ac:dyDescent="0.3">
      <c r="E53" s="448" t="s">
        <v>92</v>
      </c>
      <c r="F53" s="448"/>
      <c r="G53" s="221">
        <f>+SUM(V21:V33)/D50</f>
        <v>247</v>
      </c>
      <c r="H53" s="220">
        <f>+G53/G51</f>
        <v>0.98799999999999999</v>
      </c>
      <c r="I53" s="190"/>
      <c r="J53" s="190"/>
    </row>
    <row r="54" spans="2:10" ht="38" customHeight="1" x14ac:dyDescent="0.3">
      <c r="G54" s="222" t="s">
        <v>87</v>
      </c>
      <c r="H54" s="139" t="s">
        <v>23</v>
      </c>
    </row>
    <row r="55" spans="2:10" ht="20" customHeight="1" x14ac:dyDescent="0.3">
      <c r="F55" s="208" t="s">
        <v>65</v>
      </c>
      <c r="G55" s="221">
        <f t="shared" ref="G55:G60" si="13" xml:space="preserve"> SUMIF($G$21:$G$33, +F55,$V$21:$V$33)</f>
        <v>0</v>
      </c>
      <c r="H55" s="220">
        <f t="shared" ref="H55:H60" si="14">+G55/$G$51</f>
        <v>0</v>
      </c>
    </row>
    <row r="56" spans="2:10" ht="20" customHeight="1" x14ac:dyDescent="0.3">
      <c r="F56" s="208" t="s">
        <v>66</v>
      </c>
      <c r="G56" s="221">
        <f t="shared" si="13"/>
        <v>0</v>
      </c>
      <c r="H56" s="220">
        <f t="shared" si="14"/>
        <v>0</v>
      </c>
    </row>
    <row r="57" spans="2:10" ht="20" customHeight="1" x14ac:dyDescent="0.3">
      <c r="F57" s="208" t="s">
        <v>67</v>
      </c>
      <c r="G57" s="221">
        <f t="shared" si="13"/>
        <v>0</v>
      </c>
      <c r="H57" s="220">
        <f t="shared" si="14"/>
        <v>0</v>
      </c>
    </row>
    <row r="58" spans="2:10" ht="20" customHeight="1" x14ac:dyDescent="0.3">
      <c r="F58" s="208" t="s">
        <v>68</v>
      </c>
      <c r="G58" s="221">
        <f t="shared" si="13"/>
        <v>0</v>
      </c>
      <c r="H58" s="220">
        <f t="shared" si="14"/>
        <v>0</v>
      </c>
    </row>
    <row r="59" spans="2:10" ht="20" customHeight="1" x14ac:dyDescent="0.3">
      <c r="F59" s="208" t="s">
        <v>69</v>
      </c>
      <c r="G59" s="221">
        <f t="shared" si="13"/>
        <v>0</v>
      </c>
      <c r="H59" s="220">
        <f t="shared" si="14"/>
        <v>0</v>
      </c>
    </row>
    <row r="60" spans="2:10" ht="20" customHeight="1" x14ac:dyDescent="0.3">
      <c r="F60" s="208" t="s">
        <v>70</v>
      </c>
      <c r="G60" s="221">
        <f t="shared" si="13"/>
        <v>0</v>
      </c>
      <c r="H60" s="220">
        <f t="shared" si="14"/>
        <v>0</v>
      </c>
    </row>
    <row r="61" spans="2:10" ht="20" customHeight="1" x14ac:dyDescent="0.3">
      <c r="F61" s="208" t="s">
        <v>146</v>
      </c>
      <c r="G61" s="223">
        <f>+SUM(G55:G60)</f>
        <v>0</v>
      </c>
      <c r="H61" s="220">
        <f>+G61/($G$51*$D$50)</f>
        <v>0</v>
      </c>
    </row>
    <row r="62" spans="2:10" ht="13.5" thickBot="1" x14ac:dyDescent="0.35"/>
    <row r="63" spans="2:10" ht="30" customHeight="1" thickBot="1" x14ac:dyDescent="0.35">
      <c r="B63" s="191"/>
      <c r="C63" s="446" t="s">
        <v>107</v>
      </c>
      <c r="D63" s="446"/>
      <c r="E63" s="192"/>
      <c r="F63" s="192"/>
      <c r="G63" s="192"/>
      <c r="H63" s="192"/>
      <c r="I63" s="216"/>
      <c r="J63" s="193"/>
    </row>
    <row r="64" spans="2:10" ht="38" customHeight="1" x14ac:dyDescent="0.3">
      <c r="C64" s="208" t="s">
        <v>95</v>
      </c>
      <c r="D64" s="195">
        <f>SUMPRODUCT((LEFT(G21:G33, 5)="Scoop") / (COUNTIF(G21:G33, G21:G33 &amp; "") + (G21:G33="")))</f>
        <v>1</v>
      </c>
      <c r="E64" s="447" t="s">
        <v>90</v>
      </c>
      <c r="F64" s="447"/>
      <c r="G64" s="218">
        <v>0.20833333333333334</v>
      </c>
      <c r="I64" s="139"/>
      <c r="J64" s="190"/>
    </row>
    <row r="65" spans="2:10" ht="38" customHeight="1" x14ac:dyDescent="0.3">
      <c r="C65" s="208" t="s">
        <v>145</v>
      </c>
      <c r="D65" s="195">
        <v>4.9000000000000004</v>
      </c>
      <c r="E65" s="447" t="s">
        <v>97</v>
      </c>
      <c r="F65" s="447"/>
      <c r="G65" s="195">
        <f>15000/(60)</f>
        <v>250</v>
      </c>
      <c r="H65" s="219" t="s">
        <v>23</v>
      </c>
      <c r="I65" s="139"/>
      <c r="J65" s="190"/>
    </row>
    <row r="66" spans="2:10" ht="38" customHeight="1" x14ac:dyDescent="0.3">
      <c r="E66" s="448" t="s">
        <v>98</v>
      </c>
      <c r="F66" s="448"/>
      <c r="G66" s="207">
        <f>+SUM(SUMIF($G$21:$G$33, "Scoop*", $J$21:$J$33))/SUMPRODUCT((LEFT(G21:G33, 5)="Scoop") / (COUNTIF(G21:G33, G21:G33 &amp; "") + (G21:G33="")))</f>
        <v>0.12291666666666667</v>
      </c>
      <c r="H66" s="220">
        <f>+G66*24/($G$64*24)</f>
        <v>0.59000000000000008</v>
      </c>
      <c r="I66" s="190"/>
      <c r="J66" s="190"/>
    </row>
    <row r="67" spans="2:10" ht="38" customHeight="1" x14ac:dyDescent="0.3">
      <c r="E67" s="448" t="s">
        <v>99</v>
      </c>
      <c r="F67" s="448"/>
      <c r="G67" s="221">
        <f>+SUM(W21:W33)*D65/D64</f>
        <v>0</v>
      </c>
      <c r="H67" s="220">
        <f>+G67/G65</f>
        <v>0</v>
      </c>
      <c r="I67" s="190"/>
      <c r="J67" s="190"/>
    </row>
    <row r="68" spans="2:10" ht="38" customHeight="1" x14ac:dyDescent="0.3">
      <c r="G68" s="222" t="s">
        <v>96</v>
      </c>
      <c r="H68" s="139" t="s">
        <v>23</v>
      </c>
    </row>
    <row r="69" spans="2:10" ht="20" customHeight="1" x14ac:dyDescent="0.3">
      <c r="F69" s="208" t="s">
        <v>71</v>
      </c>
      <c r="G69" s="221">
        <f t="shared" ref="G69:G74" si="15" xml:space="preserve"> SUMIF($G$21:$G$33, +F69,$W$21:$W$33)*$D$65</f>
        <v>0</v>
      </c>
      <c r="H69" s="220">
        <f>+G69/$G$65</f>
        <v>0</v>
      </c>
    </row>
    <row r="70" spans="2:10" ht="20" customHeight="1" x14ac:dyDescent="0.3">
      <c r="F70" s="208" t="s">
        <v>72</v>
      </c>
      <c r="G70" s="221">
        <f t="shared" si="15"/>
        <v>0</v>
      </c>
      <c r="H70" s="220">
        <f t="shared" ref="H70:H75" si="16">+G70/$G$65</f>
        <v>0</v>
      </c>
    </row>
    <row r="71" spans="2:10" ht="20" customHeight="1" x14ac:dyDescent="0.3">
      <c r="F71" s="208" t="s">
        <v>73</v>
      </c>
      <c r="G71" s="221">
        <f t="shared" si="15"/>
        <v>0</v>
      </c>
      <c r="H71" s="220">
        <f t="shared" si="16"/>
        <v>0</v>
      </c>
    </row>
    <row r="72" spans="2:10" ht="20" customHeight="1" x14ac:dyDescent="0.3">
      <c r="F72" s="208" t="s">
        <v>74</v>
      </c>
      <c r="G72" s="221">
        <f t="shared" si="15"/>
        <v>0</v>
      </c>
      <c r="H72" s="220">
        <f t="shared" si="16"/>
        <v>0</v>
      </c>
    </row>
    <row r="73" spans="2:10" ht="20" customHeight="1" x14ac:dyDescent="0.3">
      <c r="F73" s="208" t="s">
        <v>75</v>
      </c>
      <c r="G73" s="221">
        <f t="shared" si="15"/>
        <v>0</v>
      </c>
      <c r="H73" s="220">
        <f t="shared" si="16"/>
        <v>0</v>
      </c>
    </row>
    <row r="74" spans="2:10" ht="20" customHeight="1" x14ac:dyDescent="0.3">
      <c r="F74" s="208" t="s">
        <v>76</v>
      </c>
      <c r="G74" s="221">
        <f t="shared" si="15"/>
        <v>0</v>
      </c>
      <c r="H74" s="220">
        <f t="shared" si="16"/>
        <v>0</v>
      </c>
    </row>
    <row r="75" spans="2:10" ht="20" customHeight="1" x14ac:dyDescent="0.3">
      <c r="F75" s="208" t="s">
        <v>146</v>
      </c>
      <c r="G75" s="223">
        <f>+SUM(G69:G74)</f>
        <v>0</v>
      </c>
      <c r="H75" s="220">
        <f t="shared" si="16"/>
        <v>0</v>
      </c>
    </row>
    <row r="76" spans="2:10" ht="13.5" thickBot="1" x14ac:dyDescent="0.35"/>
    <row r="77" spans="2:10" ht="30" customHeight="1" thickBot="1" x14ac:dyDescent="0.35">
      <c r="B77" s="191"/>
      <c r="C77" s="446" t="s">
        <v>149</v>
      </c>
      <c r="D77" s="446"/>
      <c r="E77" s="192"/>
      <c r="F77" s="192"/>
      <c r="G77" s="192"/>
      <c r="H77" s="192"/>
      <c r="I77" s="216"/>
      <c r="J77" s="193"/>
    </row>
    <row r="78" spans="2:10" ht="25.25" customHeight="1" x14ac:dyDescent="0.3">
      <c r="C78" s="208" t="s">
        <v>150</v>
      </c>
      <c r="D78" s="195">
        <f>SUMPRODUCT((LEFT(G21:G33, 8)="Roboshot") / (COUNTIF(G21:G33, G21:G33 &amp; "") + (G21:G33="")))</f>
        <v>0</v>
      </c>
      <c r="E78" s="447" t="s">
        <v>90</v>
      </c>
      <c r="F78" s="447"/>
      <c r="G78" s="218">
        <v>0.20833333333333334</v>
      </c>
    </row>
    <row r="79" spans="2:10" x14ac:dyDescent="0.3">
      <c r="C79" s="208"/>
      <c r="D79" s="195"/>
      <c r="E79" s="447" t="s">
        <v>97</v>
      </c>
      <c r="F79" s="447"/>
      <c r="G79" s="195">
        <v>12</v>
      </c>
      <c r="H79" s="219" t="s">
        <v>23</v>
      </c>
    </row>
    <row r="81" spans="6:8" x14ac:dyDescent="0.3">
      <c r="G81" s="222" t="s">
        <v>96</v>
      </c>
      <c r="H81" s="139" t="s">
        <v>23</v>
      </c>
    </row>
    <row r="82" spans="6:8" x14ac:dyDescent="0.3">
      <c r="F82" s="208" t="s">
        <v>77</v>
      </c>
      <c r="G82" s="221">
        <f xml:space="preserve"> SUMIF($G$21:$G$33, +F82,$X$21:$X$33)</f>
        <v>0</v>
      </c>
      <c r="H82" s="220">
        <f>+G82/$G$79</f>
        <v>0</v>
      </c>
    </row>
    <row r="83" spans="6:8" x14ac:dyDescent="0.3">
      <c r="F83" s="208" t="s">
        <v>78</v>
      </c>
      <c r="G83" s="221">
        <f xml:space="preserve"> SUMIF($G$21:$G$33, +F83,$X$21:$X$33)</f>
        <v>0</v>
      </c>
      <c r="H83" s="220">
        <f t="shared" ref="H83:H84" si="17">+G83/$G$79</f>
        <v>0</v>
      </c>
    </row>
    <row r="84" spans="6:8" x14ac:dyDescent="0.3">
      <c r="F84" s="208" t="s">
        <v>79</v>
      </c>
      <c r="G84" s="221">
        <f xml:space="preserve"> SUMIF($G$21:$G$33, +F84,$X$21:$X$33)</f>
        <v>0</v>
      </c>
      <c r="H84" s="220">
        <f t="shared" si="17"/>
        <v>0</v>
      </c>
    </row>
    <row r="85" spans="6:8" x14ac:dyDescent="0.3">
      <c r="F85" s="208" t="s">
        <v>146</v>
      </c>
      <c r="G85" s="223">
        <f>+SUM(G82:G84)</f>
        <v>0</v>
      </c>
      <c r="H85" s="220">
        <f>+G85/$G$79</f>
        <v>0</v>
      </c>
    </row>
  </sheetData>
  <mergeCells count="36">
    <mergeCell ref="E79:F79"/>
    <mergeCell ref="E53:F53"/>
    <mergeCell ref="C63:D63"/>
    <mergeCell ref="E64:F64"/>
    <mergeCell ref="E65:F65"/>
    <mergeCell ref="E66:F66"/>
    <mergeCell ref="E67:F67"/>
    <mergeCell ref="C49:D49"/>
    <mergeCell ref="E50:F50"/>
    <mergeCell ref="E51:F51"/>
    <mergeCell ref="C77:D77"/>
    <mergeCell ref="E78:F78"/>
    <mergeCell ref="E52:F52"/>
    <mergeCell ref="E45:G45"/>
    <mergeCell ref="E46:G46"/>
    <mergeCell ref="E47:G47"/>
    <mergeCell ref="C37:D37"/>
    <mergeCell ref="G37:H37"/>
    <mergeCell ref="E38:F38"/>
    <mergeCell ref="E39:F39"/>
    <mergeCell ref="E40:F40"/>
    <mergeCell ref="E43:G43"/>
    <mergeCell ref="E44:G44"/>
    <mergeCell ref="I37:J37"/>
    <mergeCell ref="K37:L37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39:H40 J39:J40">
    <cfRule type="cellIs" dxfId="986" priority="13" operator="greaterThan">
      <formula>0.9</formula>
    </cfRule>
    <cfRule type="cellIs" dxfId="985" priority="14" operator="between">
      <formula>0.81</formula>
      <formula>0.89</formula>
    </cfRule>
    <cfRule type="cellIs" dxfId="984" priority="15" operator="lessThan">
      <formula>0.8</formula>
    </cfRule>
  </conditionalFormatting>
  <conditionalFormatting sqref="H52:H53">
    <cfRule type="cellIs" dxfId="983" priority="16" operator="greaterThan">
      <formula>0.9</formula>
    </cfRule>
    <cfRule type="cellIs" dxfId="982" priority="17" operator="between">
      <formula>0.81</formula>
      <formula>0.89</formula>
    </cfRule>
    <cfRule type="cellIs" dxfId="981" priority="18" operator="lessThan">
      <formula>0.8</formula>
    </cfRule>
  </conditionalFormatting>
  <conditionalFormatting sqref="H55:H61">
    <cfRule type="cellIs" dxfId="980" priority="19" operator="greaterThan">
      <formula>0.9</formula>
    </cfRule>
    <cfRule type="cellIs" dxfId="979" priority="20" operator="between">
      <formula>0.81</formula>
      <formula>0.89</formula>
    </cfRule>
    <cfRule type="cellIs" dxfId="978" priority="21" operator="lessThan">
      <formula>0.8</formula>
    </cfRule>
  </conditionalFormatting>
  <conditionalFormatting sqref="H66:H67">
    <cfRule type="cellIs" dxfId="977" priority="7" operator="greaterThan">
      <formula>0.9</formula>
    </cfRule>
    <cfRule type="cellIs" dxfId="976" priority="8" operator="between">
      <formula>0.81</formula>
      <formula>0.89</formula>
    </cfRule>
    <cfRule type="cellIs" dxfId="975" priority="9" operator="lessThan">
      <formula>0.8</formula>
    </cfRule>
  </conditionalFormatting>
  <conditionalFormatting sqref="H69:H75">
    <cfRule type="cellIs" dxfId="974" priority="10" operator="greaterThan">
      <formula>0.9</formula>
    </cfRule>
    <cfRule type="cellIs" dxfId="973" priority="11" operator="between">
      <formula>0.81</formula>
      <formula>0.89</formula>
    </cfRule>
    <cfRule type="cellIs" dxfId="972" priority="12" operator="lessThan">
      <formula>0.8</formula>
    </cfRule>
  </conditionalFormatting>
  <conditionalFormatting sqref="H82:H85">
    <cfRule type="cellIs" dxfId="971" priority="4" operator="greaterThan">
      <formula>0.9</formula>
    </cfRule>
    <cfRule type="cellIs" dxfId="970" priority="5" operator="between">
      <formula>0.81</formula>
      <formula>0.89</formula>
    </cfRule>
    <cfRule type="cellIs" dxfId="969" priority="6" operator="lessThan">
      <formula>0.8</formula>
    </cfRule>
  </conditionalFormatting>
  <conditionalFormatting sqref="L39:L40">
    <cfRule type="cellIs" dxfId="968" priority="1" operator="greaterThan">
      <formula>0.9</formula>
    </cfRule>
    <cfRule type="cellIs" dxfId="967" priority="2" operator="between">
      <formula>0.81</formula>
      <formula>0.89</formula>
    </cfRule>
    <cfRule type="cellIs" dxfId="966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6F5FF7C-1A86-4C0D-94B5-F762FB386040}">
          <x14:formula1>
            <xm:f>Datos!$F$3:$F$41</xm:f>
          </x14:formula1>
          <xm:sqref>G21:G26 G29:G35</xm:sqref>
        </x14:dataValidation>
        <x14:dataValidation type="list" allowBlank="1" showInputMessage="1" showErrorMessage="1" xr:uid="{8DAD96B1-AA50-4278-ACEF-EB28263835D0}">
          <x14:formula1>
            <xm:f>Datos!$W$3:$W$12</xm:f>
          </x14:formula1>
          <xm:sqref>L29:L35 L21:L26</xm:sqref>
        </x14:dataValidation>
        <x14:dataValidation type="list" allowBlank="1" showInputMessage="1" showErrorMessage="1" xr:uid="{F7197038-BF02-4B28-A80F-8BACE9FC0DA0}">
          <x14:formula1>
            <xm:f>Datos!$D$3:$D$27</xm:f>
          </x14:formula1>
          <xm:sqref>F29:F35 F21:F26</xm:sqref>
        </x14:dataValidation>
        <x14:dataValidation type="list" allowBlank="1" showInputMessage="1" showErrorMessage="1" xr:uid="{D2A9669B-8941-43C6-AF87-B3EB9006B570}">
          <x14:formula1>
            <xm:f>Datos!$B$3:$B$8</xm:f>
          </x14:formula1>
          <xm:sqref>E29:E35 E21:E26</xm:sqref>
        </x14:dataValidation>
        <x14:dataValidation type="list" allowBlank="1" showInputMessage="1" showErrorMessage="1" xr:uid="{0FDB8909-8DF2-47E4-8E92-FC2125EECB67}">
          <x14:formula1>
            <xm:f>Datos!$H$3:$H$52</xm:f>
          </x14:formula1>
          <xm:sqref>D29:D31</xm:sqref>
        </x14:dataValidation>
        <x14:dataValidation type="list" allowBlank="1" showInputMessage="1" showErrorMessage="1" xr:uid="{76458095-6E1C-40E5-A0E5-458C58DEEF02}">
          <x14:formula1>
            <xm:f>Datos!$H$3:$H$26</xm:f>
          </x14:formula1>
          <xm:sqref>D25:D26 D32:D35</xm:sqref>
        </x14:dataValidation>
        <x14:dataValidation type="list" allowBlank="1" showInputMessage="1" showErrorMessage="1" xr:uid="{CA2902E5-1F35-4475-B63B-310262B94EA4}">
          <x14:formula1>
            <xm:f>Datos!$H$3:$H$34</xm:f>
          </x14:formula1>
          <xm:sqref>D21:D24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DF63-EDD4-4625-A377-AA475859BB88}">
  <sheetPr>
    <pageSetUpPr fitToPage="1"/>
  </sheetPr>
  <dimension ref="B1:X91"/>
  <sheetViews>
    <sheetView showGridLines="0" topLeftCell="A19" zoomScale="70" zoomScaleNormal="70" zoomScaleSheetLayoutView="50" workbookViewId="0">
      <pane xSplit="3" ySplit="2" topLeftCell="D33" activePane="bottomRight" state="frozen"/>
      <selection activeCell="M54" sqref="M54"/>
      <selection pane="topRight" activeCell="M54" sqref="M54"/>
      <selection pane="bottomLeft" activeCell="M54" sqref="M54"/>
      <selection pane="bottomRight" activeCell="M54" sqref="M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14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+G41</f>
        <v>1.0555555555555556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+H42</f>
        <v>0.79355400696864109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+G67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+G81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+G91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/>
      <c r="C21" s="173" t="str">
        <f>+Datos!$R$2</f>
        <v>Ciclo Minero 10,0 x 7,2 m
Galería Inyección Principal</v>
      </c>
      <c r="D21" s="173" t="s">
        <v>52</v>
      </c>
      <c r="E21" s="172" t="s">
        <v>6</v>
      </c>
      <c r="F21" s="172" t="s">
        <v>169</v>
      </c>
      <c r="G21" s="172" t="s">
        <v>211</v>
      </c>
      <c r="H21" s="174">
        <v>0.39583333333333331</v>
      </c>
      <c r="I21" s="174">
        <v>0.58333333333333337</v>
      </c>
      <c r="J21" s="175">
        <f t="shared" ref="J21:J27" si="0">MOD(I21-H21, 1)</f>
        <v>0.18750000000000006</v>
      </c>
      <c r="K21" s="176">
        <v>150</v>
      </c>
      <c r="L21" s="177" t="s">
        <v>126</v>
      </c>
      <c r="M21" s="178"/>
      <c r="N21" s="179">
        <v>0.7</v>
      </c>
      <c r="O21" s="186" t="s">
        <v>287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4.7917855105533362E-2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/>
      <c r="C22" s="173" t="str">
        <f>+C21</f>
        <v>Ciclo Minero 10,0 x 7,2 m
Galería Inyección Principal</v>
      </c>
      <c r="D22" s="173" t="s">
        <v>288</v>
      </c>
      <c r="E22" s="172" t="s">
        <v>6</v>
      </c>
      <c r="F22" s="172" t="s">
        <v>169</v>
      </c>
      <c r="G22" s="172" t="s">
        <v>211</v>
      </c>
      <c r="H22" s="174">
        <v>0.58333333333333337</v>
      </c>
      <c r="I22" s="174">
        <v>0.60416666666666663</v>
      </c>
      <c r="J22" s="175">
        <f t="shared" si="0"/>
        <v>2.0833333333333259E-2</v>
      </c>
      <c r="K22" s="178">
        <v>15</v>
      </c>
      <c r="L22" s="177" t="s">
        <v>126</v>
      </c>
      <c r="M22" s="178"/>
      <c r="N22" s="179">
        <v>0.3</v>
      </c>
      <c r="O22" s="225" t="s">
        <v>275</v>
      </c>
      <c r="P22" s="181"/>
      <c r="Q22" s="174"/>
      <c r="R22" s="172"/>
      <c r="S22" s="175">
        <f t="shared" ref="S22:S28" si="1">+MOD(R22-Q22,1)</f>
        <v>0</v>
      </c>
      <c r="U22" s="182">
        <f>+IFERROR(VLOOKUP(D22,Datos!$R$3:$T$19,3,FALSE), "0")*N22</f>
        <v>0</v>
      </c>
      <c r="V22" s="183" t="str">
        <f t="shared" ref="V22:V28" si="2">IF(OR(D22="Perforación de Fortificación", D22="Perforación de Avance", D22="Perforación Desquinche"), K22*M22, "")</f>
        <v/>
      </c>
      <c r="W22" s="183" t="str">
        <f t="shared" ref="W22:W28" si="3">IF(D22="Extracción de Marina Disparo",K22,"")</f>
        <v/>
      </c>
      <c r="X22" s="183" t="str">
        <f t="shared" ref="X22:X28" si="4">IF(OR(D22="Shotcrete", D22="Pre Shotcrete"), K22, "")</f>
        <v/>
      </c>
    </row>
    <row r="23" spans="2:24" ht="38" customHeight="1" x14ac:dyDescent="0.3">
      <c r="B23" s="172"/>
      <c r="C23" s="173" t="str">
        <f>+C24</f>
        <v>Ciclo Minero 10,0 x 7,2 m
Galería Inyección Principal</v>
      </c>
      <c r="D23" s="173" t="s">
        <v>101</v>
      </c>
      <c r="E23" s="172" t="s">
        <v>6</v>
      </c>
      <c r="F23" s="172" t="s">
        <v>169</v>
      </c>
      <c r="G23" s="172"/>
      <c r="H23" s="174">
        <v>0.60416666666666663</v>
      </c>
      <c r="I23" s="174">
        <v>0.65277777777777779</v>
      </c>
      <c r="J23" s="175">
        <f>MOD(I23-H23, 1)</f>
        <v>4.861111111111116E-2</v>
      </c>
      <c r="K23" s="178"/>
      <c r="L23" s="177"/>
      <c r="M23" s="178"/>
      <c r="N23" s="179">
        <v>1</v>
      </c>
      <c r="O23" s="225" t="s">
        <v>290</v>
      </c>
      <c r="P23" s="181"/>
      <c r="Q23" s="172"/>
      <c r="R23" s="172"/>
      <c r="S23" s="175">
        <f>+MOD(R23-Q23,1)</f>
        <v>0</v>
      </c>
      <c r="U23" s="182">
        <f>+IFERROR(VLOOKUP(D23,Datos!$R$3:$T$19,3,FALSE), "0")*N23</f>
        <v>5.7045065601825425E-3</v>
      </c>
      <c r="V23" s="183" t="str">
        <f>IF(OR(D23="Perforación de Fortificación", D23="Perforación de Avance", D23="Perforación Desquinche"), K23*M23, "")</f>
        <v/>
      </c>
      <c r="W23" s="183" t="str">
        <f>IF(D23="Extracción de Marina Disparo",K23,"")</f>
        <v/>
      </c>
      <c r="X23" s="183" t="str">
        <f>IF(OR(D23="Shotcrete", D23="Pre Shotcrete"), K23, "")</f>
        <v/>
      </c>
    </row>
    <row r="24" spans="2:24" ht="38" customHeight="1" x14ac:dyDescent="0.3">
      <c r="B24" s="172"/>
      <c r="C24" s="173" t="str">
        <f>+C22</f>
        <v>Ciclo Minero 10,0 x 7,2 m
Galería Inyección Principal</v>
      </c>
      <c r="D24" s="173" t="s">
        <v>59</v>
      </c>
      <c r="E24" s="172" t="s">
        <v>6</v>
      </c>
      <c r="F24" s="172" t="s">
        <v>169</v>
      </c>
      <c r="G24" s="172" t="s">
        <v>213</v>
      </c>
      <c r="H24" s="174">
        <v>0.65972222222222221</v>
      </c>
      <c r="I24" s="174">
        <v>0.68055555555555558</v>
      </c>
      <c r="J24" s="175">
        <f t="shared" si="0"/>
        <v>2.083333333333337E-2</v>
      </c>
      <c r="K24" s="178"/>
      <c r="L24" s="177"/>
      <c r="M24" s="178"/>
      <c r="N24" s="179">
        <v>1</v>
      </c>
      <c r="O24" s="186"/>
      <c r="P24" s="181"/>
      <c r="Q24" s="174"/>
      <c r="R24" s="174"/>
      <c r="S24" s="175">
        <f t="shared" si="1"/>
        <v>0</v>
      </c>
      <c r="U24" s="182">
        <f>+IFERROR(VLOOKUP(D24,Datos!$R$3:$T$19,3,FALSE), "0")*N24</f>
        <v>5.7045065601825425E-3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 t="str">
        <f>+C23</f>
        <v>Ciclo Minero 10,0 x 7,2 m
Galería Inyección Principal</v>
      </c>
      <c r="D25" s="173" t="s">
        <v>63</v>
      </c>
      <c r="E25" s="172" t="s">
        <v>6</v>
      </c>
      <c r="F25" s="172" t="s">
        <v>169</v>
      </c>
      <c r="G25" s="172" t="s">
        <v>203</v>
      </c>
      <c r="H25" s="174">
        <v>0.68402777777777779</v>
      </c>
      <c r="I25" s="174">
        <v>0.8125</v>
      </c>
      <c r="J25" s="175">
        <f t="shared" si="0"/>
        <v>0.12847222222222221</v>
      </c>
      <c r="K25" s="178">
        <v>132</v>
      </c>
      <c r="L25" s="177" t="s">
        <v>138</v>
      </c>
      <c r="M25" s="178">
        <v>3.8</v>
      </c>
      <c r="N25" s="179">
        <f>(132/164)</f>
        <v>0.80487804878048785</v>
      </c>
      <c r="O25" s="225" t="s">
        <v>289</v>
      </c>
      <c r="P25" s="181"/>
      <c r="Q25" s="172"/>
      <c r="R25" s="172"/>
      <c r="S25" s="175">
        <f t="shared" si="1"/>
        <v>0</v>
      </c>
      <c r="U25" s="182">
        <f>+IFERROR(VLOOKUP(D25,Datos!$R$3:$T$19,3,FALSE), "0")*N25</f>
        <v>0.10881694099314068</v>
      </c>
      <c r="V25" s="183">
        <f t="shared" si="2"/>
        <v>501.59999999999997</v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/>
      <c r="C26" s="173" t="str">
        <f>+C24</f>
        <v>Ciclo Minero 10,0 x 7,2 m
Galería Inyección Principal</v>
      </c>
      <c r="D26" s="173" t="s">
        <v>105</v>
      </c>
      <c r="E26" s="172" t="s">
        <v>6</v>
      </c>
      <c r="F26" s="172" t="s">
        <v>169</v>
      </c>
      <c r="G26" s="172" t="s">
        <v>204</v>
      </c>
      <c r="H26" s="174">
        <v>0.55208333333333337</v>
      </c>
      <c r="I26" s="174">
        <v>0.76041666666666663</v>
      </c>
      <c r="J26" s="175">
        <f t="shared" si="0"/>
        <v>0.20833333333333326</v>
      </c>
      <c r="K26" s="178">
        <v>36</v>
      </c>
      <c r="L26" s="177" t="s">
        <v>128</v>
      </c>
      <c r="M26" s="178"/>
      <c r="N26" s="179">
        <v>0.75</v>
      </c>
      <c r="O26" s="225" t="s">
        <v>299</v>
      </c>
      <c r="P26" s="181"/>
      <c r="Q26" s="172"/>
      <c r="R26" s="172"/>
      <c r="S26" s="175"/>
      <c r="U26" s="182"/>
      <c r="V26" s="183"/>
      <c r="W26" s="183" t="str">
        <f t="shared" si="3"/>
        <v/>
      </c>
      <c r="X26" s="183" t="str">
        <f t="shared" si="4"/>
        <v/>
      </c>
    </row>
    <row r="27" spans="2:24" ht="38" customHeight="1" x14ac:dyDescent="0.3">
      <c r="B27" s="172"/>
      <c r="C27" s="173" t="str">
        <f>+C25</f>
        <v>Ciclo Minero 10,0 x 7,2 m
Galería Inyección Principal</v>
      </c>
      <c r="D27" s="173" t="s">
        <v>105</v>
      </c>
      <c r="E27" s="172" t="s">
        <v>6</v>
      </c>
      <c r="F27" s="172" t="s">
        <v>169</v>
      </c>
      <c r="G27" s="172" t="s">
        <v>204</v>
      </c>
      <c r="H27" s="174">
        <v>0.76388888888888884</v>
      </c>
      <c r="I27" s="174">
        <v>0.79861111111111116</v>
      </c>
      <c r="J27" s="175">
        <f t="shared" si="0"/>
        <v>3.4722222222222321E-2</v>
      </c>
      <c r="K27" s="178">
        <v>36</v>
      </c>
      <c r="L27" s="177" t="s">
        <v>128</v>
      </c>
      <c r="M27" s="178"/>
      <c r="N27" s="179">
        <v>1</v>
      </c>
      <c r="O27" s="225" t="s">
        <v>291</v>
      </c>
      <c r="P27" s="181"/>
      <c r="Q27" s="172"/>
      <c r="R27" s="172"/>
      <c r="S27" s="175"/>
      <c r="U27" s="182"/>
      <c r="V27" s="183"/>
      <c r="W27" s="183"/>
      <c r="X27" s="183"/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/>
      <c r="J28" s="175">
        <f>SUM(J21:J25)</f>
        <v>0.40625000000000006</v>
      </c>
      <c r="K28" s="178"/>
      <c r="L28" s="177"/>
      <c r="M28" s="178"/>
      <c r="N28" s="179"/>
      <c r="O28" s="225"/>
      <c r="P28" s="172"/>
      <c r="Q28" s="172"/>
      <c r="R28" s="172"/>
      <c r="S28" s="175">
        <f t="shared" si="1"/>
        <v>0</v>
      </c>
      <c r="U28" s="184"/>
      <c r="V28" s="183" t="str">
        <f t="shared" si="2"/>
        <v/>
      </c>
      <c r="W28" s="183" t="str">
        <f t="shared" si="3"/>
        <v/>
      </c>
      <c r="X28" s="183" t="str">
        <f t="shared" si="4"/>
        <v/>
      </c>
    </row>
    <row r="29" spans="2:24" x14ac:dyDescent="0.3">
      <c r="B29" s="185" t="s">
        <v>158</v>
      </c>
      <c r="C29" s="63" t="s">
        <v>194</v>
      </c>
      <c r="D29" s="63"/>
      <c r="E29" s="63"/>
      <c r="F29" s="63"/>
      <c r="G29" s="63"/>
      <c r="H29" s="63"/>
      <c r="I29" s="63"/>
      <c r="J29" s="64"/>
      <c r="K29" s="64"/>
      <c r="L29" s="171"/>
      <c r="M29" s="63"/>
      <c r="N29" s="64"/>
      <c r="O29" s="64"/>
      <c r="P29" s="63"/>
      <c r="Q29" s="63"/>
      <c r="R29" s="63"/>
      <c r="S29" s="64"/>
      <c r="U29" s="63"/>
      <c r="V29" s="64"/>
      <c r="W29" s="64"/>
      <c r="X29" s="64"/>
    </row>
    <row r="30" spans="2:24" ht="52" x14ac:dyDescent="0.3">
      <c r="B30" s="63" t="s">
        <v>3</v>
      </c>
      <c r="C30" s="63" t="s">
        <v>2</v>
      </c>
      <c r="D30" s="63" t="s">
        <v>5</v>
      </c>
      <c r="E30" s="63" t="s">
        <v>22</v>
      </c>
      <c r="F30" s="63" t="s">
        <v>139</v>
      </c>
      <c r="G30" s="63" t="s">
        <v>29</v>
      </c>
      <c r="H30" s="63" t="s">
        <v>121</v>
      </c>
      <c r="I30" s="63" t="s">
        <v>4</v>
      </c>
      <c r="J30" s="64" t="s">
        <v>122</v>
      </c>
      <c r="K30" s="64" t="s">
        <v>131</v>
      </c>
      <c r="L30" s="171" t="s">
        <v>123</v>
      </c>
      <c r="M30" s="63" t="s">
        <v>134</v>
      </c>
      <c r="N30" s="64" t="s">
        <v>24</v>
      </c>
      <c r="O30" s="64" t="s">
        <v>130</v>
      </c>
      <c r="P30" s="63" t="s">
        <v>132</v>
      </c>
      <c r="Q30" s="63" t="s">
        <v>121</v>
      </c>
      <c r="R30" s="63" t="s">
        <v>4</v>
      </c>
      <c r="S30" s="64" t="s">
        <v>137</v>
      </c>
      <c r="U30" s="63" t="s">
        <v>109</v>
      </c>
      <c r="V30" s="64" t="s">
        <v>87</v>
      </c>
      <c r="W30" s="64" t="s">
        <v>128</v>
      </c>
      <c r="X30" s="64" t="s">
        <v>128</v>
      </c>
    </row>
    <row r="31" spans="2:24" ht="38" customHeight="1" x14ac:dyDescent="0.3">
      <c r="B31" s="172"/>
      <c r="C31" s="173" t="str">
        <f>+Datos!R23</f>
        <v>Ciclo Minero 5,2 x 5,6 m
Galería Acceso Portal de Servicio</v>
      </c>
      <c r="D31" s="173" t="s">
        <v>104</v>
      </c>
      <c r="E31" s="172" t="s">
        <v>6</v>
      </c>
      <c r="F31" s="172" t="s">
        <v>170</v>
      </c>
      <c r="G31" s="172" t="s">
        <v>204</v>
      </c>
      <c r="H31" s="174">
        <v>0.41666666666666669</v>
      </c>
      <c r="I31" s="174">
        <v>0.51041666666666663</v>
      </c>
      <c r="J31" s="175">
        <f t="shared" ref="J31:J34" si="5">MOD(I31-H31, 1)</f>
        <v>9.3749999999999944E-2</v>
      </c>
      <c r="K31" s="178">
        <v>38</v>
      </c>
      <c r="L31" s="177" t="s">
        <v>128</v>
      </c>
      <c r="M31" s="178"/>
      <c r="N31" s="179">
        <v>1</v>
      </c>
      <c r="O31" s="188" t="s">
        <v>292</v>
      </c>
      <c r="P31" s="181"/>
      <c r="Q31" s="174"/>
      <c r="R31" s="174"/>
      <c r="S31" s="175">
        <f t="shared" ref="S31" si="6">MOD(R31-Q31, 1)</f>
        <v>0</v>
      </c>
      <c r="U31" s="187">
        <f>+IFERROR(VLOOKUP(D31,Datos!$R$24:$T$40,3,FALSE), "0")*N31</f>
        <v>0.17399804496578691</v>
      </c>
      <c r="V31" s="183" t="str">
        <f t="shared" ref="V31:V37" si="7">IF(OR(D31="Perforación de Fortificación", D31="Perforación de Avance", D31="Perforación Desquinche"), K31*M31, "")</f>
        <v/>
      </c>
      <c r="W31" s="183">
        <f>IF(D31="Extracción de Marina Disparo",K31,"")</f>
        <v>38</v>
      </c>
      <c r="X31" s="183" t="str">
        <f t="shared" ref="X31:X37" si="8">IF(OR(D31="Shotcrete", D31="Pre Shotcrete"), K31, "")</f>
        <v/>
      </c>
    </row>
    <row r="32" spans="2:24" ht="53.4" customHeight="1" x14ac:dyDescent="0.3">
      <c r="B32" s="172"/>
      <c r="C32" s="173" t="str">
        <f>+C31</f>
        <v>Ciclo Minero 5,2 x 5,6 m
Galería Acceso Portal de Servicio</v>
      </c>
      <c r="D32" s="173" t="s">
        <v>56</v>
      </c>
      <c r="E32" s="172" t="s">
        <v>6</v>
      </c>
      <c r="F32" s="172" t="s">
        <v>170</v>
      </c>
      <c r="G32" s="172" t="s">
        <v>211</v>
      </c>
      <c r="H32" s="174">
        <v>0.51249999999999996</v>
      </c>
      <c r="I32" s="174">
        <v>0.60416666666666663</v>
      </c>
      <c r="J32" s="175">
        <f t="shared" si="5"/>
        <v>9.1666666666666674E-2</v>
      </c>
      <c r="K32" s="178"/>
      <c r="L32" s="177"/>
      <c r="M32" s="178"/>
      <c r="N32" s="179">
        <v>1</v>
      </c>
      <c r="O32" s="188" t="s">
        <v>293</v>
      </c>
      <c r="P32" s="172"/>
      <c r="Q32" s="172"/>
      <c r="R32" s="172"/>
      <c r="S32" s="175">
        <f t="shared" ref="S32:S37" si="9">+MOD(R32-Q32,1)</f>
        <v>0</v>
      </c>
      <c r="U32" s="187">
        <f>+IFERROR(VLOOKUP(D32,Datos!$R$24:$T$40,3,FALSE), "0")*N32</f>
        <v>5.5718475073313775E-2</v>
      </c>
      <c r="V32" s="183" t="str">
        <f t="shared" si="7"/>
        <v/>
      </c>
      <c r="W32" s="183" t="str">
        <f t="shared" ref="W32:W37" si="10">IF(D32="Extracción de Marina Disparo",K32,"")</f>
        <v/>
      </c>
      <c r="X32" s="183" t="str">
        <f t="shared" si="8"/>
        <v/>
      </c>
    </row>
    <row r="33" spans="2:24" ht="38" customHeight="1" x14ac:dyDescent="0.3">
      <c r="B33" s="172"/>
      <c r="C33" s="173" t="str">
        <f t="shared" ref="C33:C34" si="11">+C32</f>
        <v>Ciclo Minero 5,2 x 5,6 m
Galería Acceso Portal de Servicio</v>
      </c>
      <c r="D33" s="173" t="s">
        <v>173</v>
      </c>
      <c r="E33" s="172" t="s">
        <v>6</v>
      </c>
      <c r="F33" s="172" t="s">
        <v>170</v>
      </c>
      <c r="G33" s="172"/>
      <c r="H33" s="174">
        <v>0.70138888888888884</v>
      </c>
      <c r="I33" s="174">
        <v>0.75</v>
      </c>
      <c r="J33" s="175">
        <f t="shared" si="5"/>
        <v>4.861111111111116E-2</v>
      </c>
      <c r="K33" s="178"/>
      <c r="L33" s="177"/>
      <c r="M33" s="178"/>
      <c r="N33" s="179">
        <v>1</v>
      </c>
      <c r="O33" s="188" t="s">
        <v>294</v>
      </c>
      <c r="P33" s="181" t="s">
        <v>295</v>
      </c>
      <c r="Q33" s="174">
        <v>0.60416666666666663</v>
      </c>
      <c r="R33" s="174">
        <v>0.70138888888888884</v>
      </c>
      <c r="S33" s="175">
        <f t="shared" si="9"/>
        <v>9.722222222222221E-2</v>
      </c>
      <c r="U33" s="187">
        <f>+IFERROR(VLOOKUP(D33,Datos!$R$24:$T$40,3,FALSE), "0")*N33</f>
        <v>4.1055718475073312E-2</v>
      </c>
      <c r="V33" s="183" t="str">
        <f t="shared" si="7"/>
        <v/>
      </c>
      <c r="W33" s="183" t="str">
        <f t="shared" si="10"/>
        <v/>
      </c>
      <c r="X33" s="183" t="str">
        <f t="shared" si="8"/>
        <v/>
      </c>
    </row>
    <row r="34" spans="2:24" ht="38" customHeight="1" x14ac:dyDescent="0.3">
      <c r="B34" s="172"/>
      <c r="C34" s="173" t="str">
        <f t="shared" si="11"/>
        <v>Ciclo Minero 5,2 x 5,6 m
Galería Acceso Portal de Servicio</v>
      </c>
      <c r="D34" s="173" t="s">
        <v>57</v>
      </c>
      <c r="E34" s="172" t="s">
        <v>6</v>
      </c>
      <c r="F34" s="172" t="s">
        <v>170</v>
      </c>
      <c r="G34" s="172" t="s">
        <v>203</v>
      </c>
      <c r="H34" s="174">
        <v>0.69791666666666663</v>
      </c>
      <c r="I34" s="174">
        <v>0.75</v>
      </c>
      <c r="J34" s="175">
        <f t="shared" si="5"/>
        <v>5.208333333333337E-2</v>
      </c>
      <c r="K34" s="178">
        <v>24</v>
      </c>
      <c r="L34" s="177" t="s">
        <v>138</v>
      </c>
      <c r="M34" s="178"/>
      <c r="N34" s="179">
        <f>(24/45)</f>
        <v>0.53333333333333333</v>
      </c>
      <c r="O34" s="188" t="s">
        <v>296</v>
      </c>
      <c r="P34" s="173"/>
      <c r="Q34" s="172"/>
      <c r="R34" s="172"/>
      <c r="S34" s="175">
        <f t="shared" si="9"/>
        <v>0</v>
      </c>
      <c r="U34" s="187">
        <f>+IFERROR(VLOOKUP(D34,Datos!$R$24:$T$40,3,FALSE), "0")*N34</f>
        <v>3.9622026718800905E-2</v>
      </c>
      <c r="V34" s="183">
        <f t="shared" si="7"/>
        <v>0</v>
      </c>
      <c r="W34" s="183" t="str">
        <f t="shared" si="10"/>
        <v/>
      </c>
      <c r="X34" s="183" t="str">
        <f t="shared" si="8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/>
      <c r="K35" s="178"/>
      <c r="L35" s="177"/>
      <c r="M35" s="178"/>
      <c r="N35" s="179"/>
      <c r="O35" s="188"/>
      <c r="P35" s="172"/>
      <c r="Q35" s="172"/>
      <c r="R35" s="172"/>
      <c r="S35" s="175">
        <f t="shared" si="9"/>
        <v>0</v>
      </c>
      <c r="U35" s="187"/>
      <c r="V35" s="183" t="str">
        <f t="shared" si="7"/>
        <v/>
      </c>
      <c r="W35" s="183" t="str">
        <f t="shared" si="10"/>
        <v/>
      </c>
      <c r="X35" s="183" t="str">
        <f t="shared" si="8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2"/>
      <c r="J36" s="175"/>
      <c r="K36" s="178"/>
      <c r="L36" s="177"/>
      <c r="M36" s="178"/>
      <c r="N36" s="179"/>
      <c r="O36" s="188"/>
      <c r="P36" s="172"/>
      <c r="Q36" s="172"/>
      <c r="R36" s="172"/>
      <c r="S36" s="175">
        <f t="shared" si="9"/>
        <v>0</v>
      </c>
      <c r="U36" s="184"/>
      <c r="V36" s="183" t="str">
        <f t="shared" si="7"/>
        <v/>
      </c>
      <c r="W36" s="183" t="str">
        <f t="shared" si="10"/>
        <v/>
      </c>
      <c r="X36" s="183" t="str">
        <f t="shared" si="8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2"/>
      <c r="J37" s="175">
        <f>SUM(J31:J35)</f>
        <v>0.28611111111111115</v>
      </c>
      <c r="K37" s="178"/>
      <c r="L37" s="177"/>
      <c r="M37" s="178"/>
      <c r="N37" s="179"/>
      <c r="O37" s="188"/>
      <c r="P37" s="172"/>
      <c r="Q37" s="172"/>
      <c r="R37" s="172"/>
      <c r="S37" s="175">
        <f t="shared" si="9"/>
        <v>0</v>
      </c>
      <c r="U37" s="189"/>
      <c r="V37" s="183" t="str">
        <f t="shared" si="7"/>
        <v/>
      </c>
      <c r="W37" s="183" t="str">
        <f t="shared" si="10"/>
        <v/>
      </c>
      <c r="X37" s="183" t="str">
        <f t="shared" si="8"/>
        <v/>
      </c>
    </row>
    <row r="38" spans="2:24" ht="15.65" customHeight="1" thickBot="1" x14ac:dyDescent="0.35">
      <c r="B38" s="190"/>
      <c r="C38" s="190"/>
      <c r="D38" s="190"/>
      <c r="E38" s="190"/>
      <c r="F38" s="190"/>
      <c r="G38" s="190"/>
      <c r="H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</row>
    <row r="39" spans="2:24" ht="30" customHeight="1" thickBot="1" x14ac:dyDescent="0.35">
      <c r="B39" s="191"/>
      <c r="C39" s="446" t="s">
        <v>64</v>
      </c>
      <c r="D39" s="446"/>
      <c r="E39" s="192"/>
      <c r="F39" s="192"/>
      <c r="G39" s="431">
        <v>3500</v>
      </c>
      <c r="H39" s="432"/>
      <c r="I39" s="431">
        <v>3700</v>
      </c>
      <c r="J39" s="432"/>
      <c r="K39" s="433" t="s">
        <v>146</v>
      </c>
      <c r="L39" s="434"/>
      <c r="M39" s="190"/>
      <c r="N39" s="190"/>
      <c r="O39" s="190"/>
      <c r="P39" s="190"/>
      <c r="Q39" s="190"/>
      <c r="R39" s="190"/>
      <c r="S39" s="190"/>
    </row>
    <row r="40" spans="2:24" ht="30" customHeight="1" x14ac:dyDescent="0.3">
      <c r="C40" s="194" t="s">
        <v>48</v>
      </c>
      <c r="D40" s="195">
        <f>SUMPRODUCT((LEFT(F21:F35, 1)="C") / (COUNTIF(F21:F35, F21:F35 &amp; "") + (F21:F35="")))</f>
        <v>0</v>
      </c>
      <c r="E40" s="447" t="s">
        <v>90</v>
      </c>
      <c r="F40" s="447"/>
      <c r="G40" s="196">
        <v>0.26041666666666669</v>
      </c>
      <c r="H40" s="197" t="s">
        <v>23</v>
      </c>
      <c r="I40" s="196">
        <v>0.26041666666666669</v>
      </c>
      <c r="J40" s="197" t="s">
        <v>23</v>
      </c>
      <c r="K40" s="198">
        <f>+G40</f>
        <v>0.26041666666666669</v>
      </c>
      <c r="L40" s="197" t="s">
        <v>23</v>
      </c>
      <c r="M40" s="190"/>
      <c r="N40" s="190"/>
      <c r="O40" s="190"/>
      <c r="P40" s="190"/>
      <c r="Q40" s="190"/>
      <c r="R40" s="190"/>
      <c r="S40" s="190"/>
    </row>
    <row r="41" spans="2:24" x14ac:dyDescent="0.3">
      <c r="C41" s="194" t="s">
        <v>49</v>
      </c>
      <c r="D41" s="195">
        <f>SUMPRODUCT((LEFT(F21:F35, 1)="O") / (COUNTIF(F21:F35, F21:F35 &amp; "") + (F21:F35="")))</f>
        <v>0</v>
      </c>
      <c r="E41" s="448" t="s">
        <v>198</v>
      </c>
      <c r="F41" s="448"/>
      <c r="G41" s="199">
        <f>SUM(J21:J28)</f>
        <v>1.0555555555555556</v>
      </c>
      <c r="H41" s="200">
        <f>+G41*24/($G$40*24)</f>
        <v>4.0533333333333337</v>
      </c>
      <c r="I41" s="199">
        <f>SUM(J31:J35)</f>
        <v>0.28611111111111115</v>
      </c>
      <c r="J41" s="200">
        <f>+I41*24/($I$40*24)</f>
        <v>1.0986666666666667</v>
      </c>
      <c r="K41" s="201">
        <f>AVERAGE(G41+I41)/2</f>
        <v>0.67083333333333339</v>
      </c>
      <c r="L41" s="200">
        <f>+K41*24/($K$40*24)</f>
        <v>2.5760000000000001</v>
      </c>
      <c r="M41" s="190"/>
      <c r="N41" s="190"/>
      <c r="O41" s="190"/>
      <c r="P41" s="190"/>
      <c r="Q41" s="190"/>
      <c r="R41" s="190"/>
      <c r="S41" s="190"/>
    </row>
    <row r="42" spans="2:24" ht="43.25" customHeight="1" thickBot="1" x14ac:dyDescent="0.35">
      <c r="E42" s="448" t="s">
        <v>94</v>
      </c>
      <c r="F42" s="448"/>
      <c r="G42" s="202"/>
      <c r="H42" s="203">
        <f>+AVERAGE(N21:N28)</f>
        <v>0.79355400696864109</v>
      </c>
      <c r="I42" s="202"/>
      <c r="J42" s="203">
        <f>+AVERAGE(N31:N35)</f>
        <v>0.8833333333333333</v>
      </c>
      <c r="K42" s="204"/>
      <c r="L42" s="203">
        <f>+AVERAGE(N21:N35)</f>
        <v>0.82620103473762008</v>
      </c>
    </row>
    <row r="43" spans="2:24" ht="43.25" customHeight="1" x14ac:dyDescent="0.3">
      <c r="E43" s="205"/>
      <c r="F43" s="205"/>
      <c r="G43" s="206"/>
      <c r="H43" s="206"/>
      <c r="I43" s="137"/>
      <c r="J43" s="137"/>
      <c r="K43" s="137"/>
      <c r="L43" s="137"/>
    </row>
    <row r="44" spans="2:24" ht="43.25" customHeight="1" x14ac:dyDescent="0.3">
      <c r="E44" s="194"/>
      <c r="F44" s="194"/>
      <c r="G44" s="207"/>
      <c r="H44" s="208" t="s">
        <v>24</v>
      </c>
      <c r="I44" s="208" t="s">
        <v>199</v>
      </c>
      <c r="J44" s="208" t="s">
        <v>201</v>
      </c>
      <c r="K44" s="208" t="s">
        <v>258</v>
      </c>
      <c r="L44" s="345" t="s">
        <v>484</v>
      </c>
      <c r="M44" s="345" t="s">
        <v>485</v>
      </c>
      <c r="N44" s="208"/>
    </row>
    <row r="45" spans="2:24" ht="14.5" x14ac:dyDescent="0.35">
      <c r="E45" s="445" t="s">
        <v>174</v>
      </c>
      <c r="F45" s="445"/>
      <c r="G45" s="445"/>
      <c r="H45" s="209">
        <f>SUMPRODUCT(N31:N37 * U31:U37 * (N31:N37&lt;&gt;"") * (U31:U37&lt;&gt;""))</f>
        <v>0.29190398609753454</v>
      </c>
      <c r="I45" s="210">
        <f>+H45*$J$45*$K$45</f>
        <v>6.5888567741935491</v>
      </c>
      <c r="J45" s="211">
        <v>6.6</v>
      </c>
      <c r="K45" s="226">
        <v>3.42</v>
      </c>
      <c r="L45" s="344">
        <v>56.080975609756102</v>
      </c>
      <c r="M45" s="344">
        <f>+L45*K45*H45</f>
        <v>55.98629031056435</v>
      </c>
    </row>
    <row r="46" spans="2:24" ht="14.4" customHeight="1" x14ac:dyDescent="0.35">
      <c r="E46" s="445" t="s">
        <v>224</v>
      </c>
      <c r="F46" s="445"/>
      <c r="G46" s="445"/>
      <c r="H46" s="209"/>
      <c r="I46" s="210">
        <f>+J46*K46</f>
        <v>0</v>
      </c>
      <c r="J46" s="214">
        <f>1892/1000000</f>
        <v>1.892E-3</v>
      </c>
      <c r="K46" s="215">
        <f>+((15*4.4)*2.72)*0</f>
        <v>0</v>
      </c>
      <c r="L46" s="346">
        <v>1.6919982016368774E-2</v>
      </c>
      <c r="M46" s="344">
        <f>+L46*K46</f>
        <v>0</v>
      </c>
    </row>
    <row r="47" spans="2:24" ht="14.4" customHeight="1" x14ac:dyDescent="0.35">
      <c r="E47" s="445" t="s">
        <v>298</v>
      </c>
      <c r="F47" s="445"/>
      <c r="G47" s="445"/>
      <c r="H47" s="209"/>
      <c r="I47" s="210">
        <f>SUM(I45:I46)</f>
        <v>6.5888567741935491</v>
      </c>
      <c r="J47" s="214"/>
      <c r="K47" s="215"/>
      <c r="L47" s="346"/>
      <c r="M47" s="344"/>
    </row>
    <row r="48" spans="2:24" ht="14.4" customHeight="1" x14ac:dyDescent="0.35">
      <c r="E48" s="227"/>
      <c r="F48" s="227"/>
      <c r="G48" s="227"/>
      <c r="H48" s="209"/>
      <c r="I48" s="210"/>
      <c r="J48" s="214"/>
      <c r="K48" s="215"/>
      <c r="L48" s="346"/>
      <c r="M48" s="344"/>
    </row>
    <row r="49" spans="2:13" ht="14.4" customHeight="1" x14ac:dyDescent="0.35">
      <c r="E49" s="445" t="s">
        <v>175</v>
      </c>
      <c r="F49" s="445"/>
      <c r="G49" s="445"/>
      <c r="H49" s="209">
        <f>+SUMPRODUCT(N21:N28 * U21:U28 * (N21:N28&lt;&gt;"") * (U21:U28&lt;&gt;""))</f>
        <v>0.13253587883505899</v>
      </c>
      <c r="I49" s="210">
        <f>+H49*$J$49*$K$49</f>
        <v>5.3486179262676403</v>
      </c>
      <c r="J49" s="211">
        <v>11.8</v>
      </c>
      <c r="K49" s="226">
        <v>3.42</v>
      </c>
      <c r="L49" s="344">
        <v>118.52055555555555</v>
      </c>
      <c r="M49" s="344">
        <f>+L49*K49*H49</f>
        <v>53.722132887766456</v>
      </c>
    </row>
    <row r="50" spans="2:13" ht="14.4" customHeight="1" x14ac:dyDescent="0.35">
      <c r="E50" s="445" t="s">
        <v>225</v>
      </c>
      <c r="F50" s="445"/>
      <c r="G50" s="445"/>
      <c r="H50" s="209"/>
      <c r="I50" s="210">
        <f>+J50*K50</f>
        <v>0</v>
      </c>
      <c r="J50" s="214">
        <f>+J46</f>
        <v>1.892E-3</v>
      </c>
      <c r="K50" s="226">
        <f>+((15*2.8)*2.72)*0</f>
        <v>0</v>
      </c>
      <c r="L50" s="346">
        <v>1.6919982016368774E-2</v>
      </c>
      <c r="M50" s="344">
        <f>+L50*K50</f>
        <v>0</v>
      </c>
    </row>
    <row r="51" spans="2:13" ht="14.4" customHeight="1" x14ac:dyDescent="0.3">
      <c r="E51" s="445" t="s">
        <v>297</v>
      </c>
      <c r="F51" s="445"/>
      <c r="G51" s="445"/>
      <c r="H51" s="209"/>
      <c r="I51" s="210">
        <f>SUM(I49:I50)</f>
        <v>5.3486179262676403</v>
      </c>
      <c r="J51" s="214"/>
      <c r="K51" s="226"/>
      <c r="L51" s="351"/>
      <c r="M51" s="349"/>
    </row>
    <row r="52" spans="2:13" ht="14.4" customHeight="1" x14ac:dyDescent="0.3">
      <c r="E52" s="227"/>
      <c r="F52" s="227"/>
      <c r="G52" s="227"/>
      <c r="H52" s="209"/>
      <c r="I52" s="210"/>
      <c r="J52" s="214"/>
      <c r="K52" s="226"/>
      <c r="L52" s="351"/>
      <c r="M52" s="349"/>
    </row>
    <row r="53" spans="2:13" ht="14.4" customHeight="1" x14ac:dyDescent="0.35">
      <c r="E53" s="445" t="s">
        <v>236</v>
      </c>
      <c r="F53" s="445"/>
      <c r="G53" s="445"/>
      <c r="H53" s="209"/>
      <c r="I53" s="210">
        <f>+J53*K53</f>
        <v>0</v>
      </c>
      <c r="J53" s="214">
        <f>25508/1000000</f>
        <v>2.5507999999999999E-2</v>
      </c>
      <c r="K53" s="226">
        <f>14.43*0</f>
        <v>0</v>
      </c>
      <c r="L53" s="347" t="s">
        <v>486</v>
      </c>
      <c r="M53" s="344"/>
    </row>
    <row r="54" spans="2:13" ht="13.5" thickBot="1" x14ac:dyDescent="0.35">
      <c r="M54" s="352">
        <f>SUM(M45:M53)</f>
        <v>109.70842319833081</v>
      </c>
    </row>
    <row r="55" spans="2:13" ht="30" customHeight="1" thickBot="1" x14ac:dyDescent="0.35">
      <c r="B55" s="191"/>
      <c r="C55" s="446" t="s">
        <v>88</v>
      </c>
      <c r="D55" s="446"/>
      <c r="E55" s="192"/>
      <c r="F55" s="192"/>
      <c r="G55" s="192"/>
      <c r="H55" s="192"/>
      <c r="I55" s="216"/>
      <c r="J55" s="193"/>
    </row>
    <row r="56" spans="2:13" ht="38" customHeight="1" x14ac:dyDescent="0.3">
      <c r="C56" s="217" t="s">
        <v>89</v>
      </c>
      <c r="D56" s="195">
        <f>SUMPRODUCT((LEFT(G21:G35, 5)="Jumbo") / (COUNTIF(G21:G35, G21:G35 &amp; "") + (G21:G35="")))</f>
        <v>1</v>
      </c>
      <c r="E56" s="447" t="s">
        <v>90</v>
      </c>
      <c r="F56" s="447"/>
      <c r="G56" s="218">
        <v>0.20833333333333334</v>
      </c>
      <c r="I56" s="139"/>
      <c r="J56" s="190"/>
    </row>
    <row r="57" spans="2:13" ht="38" customHeight="1" x14ac:dyDescent="0.3">
      <c r="E57" s="447" t="s">
        <v>93</v>
      </c>
      <c r="F57" s="447"/>
      <c r="G57" s="195">
        <f>15000/(60)</f>
        <v>250</v>
      </c>
      <c r="H57" s="219" t="s">
        <v>143</v>
      </c>
      <c r="I57" s="139"/>
      <c r="J57" s="190"/>
    </row>
    <row r="58" spans="2:13" ht="38" customHeight="1" x14ac:dyDescent="0.3">
      <c r="E58" s="448" t="s">
        <v>91</v>
      </c>
      <c r="F58" s="448"/>
      <c r="G58" s="207">
        <f>+SUM(SUMIF($G$21:$G$35, "Jumbo*", $J$21:$J$35))/SUMPRODUCT((LEFT(G21:G35, 5)="Jumbo") / (COUNTIF(G21:G35, G21:G35 &amp; "") + (G21:G35="")))</f>
        <v>0.18055555555555558</v>
      </c>
      <c r="H58" s="220">
        <f>+G58*24/($G$56*24)</f>
        <v>0.86666666666666681</v>
      </c>
      <c r="I58" s="190"/>
      <c r="J58" s="190"/>
    </row>
    <row r="59" spans="2:13" ht="38" customHeight="1" x14ac:dyDescent="0.3">
      <c r="E59" s="448" t="s">
        <v>92</v>
      </c>
      <c r="F59" s="448"/>
      <c r="G59" s="221">
        <f>+SUM(V21:V35)/D56</f>
        <v>501.59999999999997</v>
      </c>
      <c r="H59" s="220">
        <f>+G59/G57</f>
        <v>2.0063999999999997</v>
      </c>
      <c r="I59" s="190"/>
      <c r="J59" s="190"/>
    </row>
    <row r="60" spans="2:13" ht="38" customHeight="1" x14ac:dyDescent="0.3">
      <c r="G60" s="222" t="s">
        <v>87</v>
      </c>
      <c r="H60" s="139" t="s">
        <v>23</v>
      </c>
    </row>
    <row r="61" spans="2:13" ht="20" customHeight="1" x14ac:dyDescent="0.3">
      <c r="F61" s="208" t="s">
        <v>65</v>
      </c>
      <c r="G61" s="221">
        <f t="shared" ref="G61:G66" si="12" xml:space="preserve"> SUMIF($G$21:$G$35, +F61,$V$21:$V$35)</f>
        <v>0</v>
      </c>
      <c r="H61" s="220">
        <f t="shared" ref="H61:H66" si="13">+G61/$G$57</f>
        <v>0</v>
      </c>
    </row>
    <row r="62" spans="2:13" ht="20" customHeight="1" x14ac:dyDescent="0.3">
      <c r="F62" s="208" t="s">
        <v>66</v>
      </c>
      <c r="G62" s="221">
        <f t="shared" si="12"/>
        <v>0</v>
      </c>
      <c r="H62" s="220">
        <f t="shared" si="13"/>
        <v>0</v>
      </c>
    </row>
    <row r="63" spans="2:13" ht="20" customHeight="1" x14ac:dyDescent="0.3">
      <c r="F63" s="208" t="s">
        <v>67</v>
      </c>
      <c r="G63" s="221">
        <f t="shared" si="12"/>
        <v>0</v>
      </c>
      <c r="H63" s="220">
        <f t="shared" si="13"/>
        <v>0</v>
      </c>
    </row>
    <row r="64" spans="2:13" ht="20" customHeight="1" x14ac:dyDescent="0.3">
      <c r="F64" s="208" t="s">
        <v>68</v>
      </c>
      <c r="G64" s="221">
        <f t="shared" si="12"/>
        <v>0</v>
      </c>
      <c r="H64" s="220">
        <f t="shared" si="13"/>
        <v>0</v>
      </c>
    </row>
    <row r="65" spans="2:10" ht="20" customHeight="1" x14ac:dyDescent="0.3">
      <c r="F65" s="208" t="s">
        <v>69</v>
      </c>
      <c r="G65" s="221">
        <f t="shared" si="12"/>
        <v>0</v>
      </c>
      <c r="H65" s="220">
        <f t="shared" si="13"/>
        <v>0</v>
      </c>
    </row>
    <row r="66" spans="2:10" ht="20" customHeight="1" x14ac:dyDescent="0.3">
      <c r="F66" s="208" t="s">
        <v>70</v>
      </c>
      <c r="G66" s="221">
        <f t="shared" si="12"/>
        <v>0</v>
      </c>
      <c r="H66" s="220">
        <f t="shared" si="13"/>
        <v>0</v>
      </c>
    </row>
    <row r="67" spans="2:10" ht="20" customHeight="1" x14ac:dyDescent="0.3">
      <c r="F67" s="208" t="s">
        <v>146</v>
      </c>
      <c r="G67" s="223">
        <f>+SUM(G61:G66)</f>
        <v>0</v>
      </c>
      <c r="H67" s="220">
        <f>+G67/($G$57*$D$56)</f>
        <v>0</v>
      </c>
    </row>
    <row r="68" spans="2:10" ht="13.5" thickBot="1" x14ac:dyDescent="0.35"/>
    <row r="69" spans="2:10" ht="30" customHeight="1" thickBot="1" x14ac:dyDescent="0.35">
      <c r="B69" s="191"/>
      <c r="C69" s="446" t="s">
        <v>107</v>
      </c>
      <c r="D69" s="446"/>
      <c r="E69" s="192"/>
      <c r="F69" s="192"/>
      <c r="G69" s="192"/>
      <c r="H69" s="192"/>
      <c r="I69" s="216"/>
      <c r="J69" s="193"/>
    </row>
    <row r="70" spans="2:10" ht="38" customHeight="1" x14ac:dyDescent="0.3">
      <c r="C70" s="208" t="s">
        <v>95</v>
      </c>
      <c r="D70" s="195">
        <f>SUMPRODUCT((LEFT(G21:G35, 5)="Scoop") / (COUNTIF(G21:G35, G21:G35 &amp; "") + (G21:G35="")))</f>
        <v>1</v>
      </c>
      <c r="E70" s="447" t="s">
        <v>90</v>
      </c>
      <c r="F70" s="447"/>
      <c r="G70" s="218">
        <v>0.20833333333333334</v>
      </c>
      <c r="I70" s="139"/>
      <c r="J70" s="190"/>
    </row>
    <row r="71" spans="2:10" ht="38" customHeight="1" x14ac:dyDescent="0.3">
      <c r="C71" s="208" t="s">
        <v>145</v>
      </c>
      <c r="D71" s="195">
        <v>4.9000000000000004</v>
      </c>
      <c r="E71" s="447" t="s">
        <v>97</v>
      </c>
      <c r="F71" s="447"/>
      <c r="G71" s="195">
        <f>15000/(60)</f>
        <v>250</v>
      </c>
      <c r="H71" s="219" t="s">
        <v>23</v>
      </c>
      <c r="I71" s="139"/>
      <c r="J71" s="190"/>
    </row>
    <row r="72" spans="2:10" ht="38" customHeight="1" x14ac:dyDescent="0.3">
      <c r="E72" s="448" t="s">
        <v>98</v>
      </c>
      <c r="F72" s="448"/>
      <c r="G72" s="207">
        <f>+SUM(SUMIF($G$21:$G$35, "Scoop*", $J$21:$J$35))/SUMPRODUCT((LEFT(G21:G35, 5)="Scoop") / (COUNTIF(G21:G35, G21:G35 &amp; "") + (G21:G35="")))</f>
        <v>0.33680555555555552</v>
      </c>
      <c r="H72" s="220">
        <f>+G72*24/($G$70*24)</f>
        <v>1.6166666666666665</v>
      </c>
      <c r="I72" s="190"/>
      <c r="J72" s="190"/>
    </row>
    <row r="73" spans="2:10" ht="38" customHeight="1" x14ac:dyDescent="0.3">
      <c r="E73" s="448" t="s">
        <v>99</v>
      </c>
      <c r="F73" s="448"/>
      <c r="G73" s="221">
        <f>+SUM(W21:W35)*D71/D70</f>
        <v>186.20000000000002</v>
      </c>
      <c r="H73" s="220">
        <f>+G73/G71</f>
        <v>0.74480000000000002</v>
      </c>
      <c r="I73" s="190"/>
      <c r="J73" s="190"/>
    </row>
    <row r="74" spans="2:10" ht="38" customHeight="1" x14ac:dyDescent="0.3">
      <c r="G74" s="222" t="s">
        <v>96</v>
      </c>
      <c r="H74" s="139" t="s">
        <v>23</v>
      </c>
    </row>
    <row r="75" spans="2:10" ht="20" customHeight="1" x14ac:dyDescent="0.3">
      <c r="F75" s="208" t="s">
        <v>71</v>
      </c>
      <c r="G75" s="221">
        <f t="shared" ref="G75:G80" si="14" xml:space="preserve"> SUMIF($G$21:$G$35, +F75,$W$21:$W$35)*$D$71</f>
        <v>0</v>
      </c>
      <c r="H75" s="220">
        <f>+G75/$G$71</f>
        <v>0</v>
      </c>
    </row>
    <row r="76" spans="2:10" ht="20" customHeight="1" x14ac:dyDescent="0.3">
      <c r="F76" s="208" t="s">
        <v>72</v>
      </c>
      <c r="G76" s="221">
        <f t="shared" si="14"/>
        <v>0</v>
      </c>
      <c r="H76" s="220">
        <f t="shared" ref="H76:H81" si="15">+G76/$G$71</f>
        <v>0</v>
      </c>
    </row>
    <row r="77" spans="2:10" ht="20" customHeight="1" x14ac:dyDescent="0.3">
      <c r="F77" s="208" t="s">
        <v>73</v>
      </c>
      <c r="G77" s="221">
        <f t="shared" si="14"/>
        <v>0</v>
      </c>
      <c r="H77" s="220">
        <f t="shared" si="15"/>
        <v>0</v>
      </c>
    </row>
    <row r="78" spans="2:10" ht="20" customHeight="1" x14ac:dyDescent="0.3">
      <c r="F78" s="208" t="s">
        <v>74</v>
      </c>
      <c r="G78" s="221">
        <f t="shared" si="14"/>
        <v>0</v>
      </c>
      <c r="H78" s="220">
        <f t="shared" si="15"/>
        <v>0</v>
      </c>
    </row>
    <row r="79" spans="2:10" ht="20" customHeight="1" x14ac:dyDescent="0.3">
      <c r="F79" s="208" t="s">
        <v>75</v>
      </c>
      <c r="G79" s="221">
        <f t="shared" si="14"/>
        <v>0</v>
      </c>
      <c r="H79" s="220">
        <f t="shared" si="15"/>
        <v>0</v>
      </c>
    </row>
    <row r="80" spans="2:10" ht="20" customHeight="1" x14ac:dyDescent="0.3">
      <c r="F80" s="208" t="s">
        <v>76</v>
      </c>
      <c r="G80" s="221">
        <f t="shared" si="14"/>
        <v>0</v>
      </c>
      <c r="H80" s="220">
        <f t="shared" si="15"/>
        <v>0</v>
      </c>
    </row>
    <row r="81" spans="2:10" ht="20" customHeight="1" x14ac:dyDescent="0.3">
      <c r="F81" s="208" t="s">
        <v>146</v>
      </c>
      <c r="G81" s="223">
        <f>+SUM(G75:G80)</f>
        <v>0</v>
      </c>
      <c r="H81" s="220">
        <f t="shared" si="15"/>
        <v>0</v>
      </c>
    </row>
    <row r="82" spans="2:10" ht="13.5" thickBot="1" x14ac:dyDescent="0.35"/>
    <row r="83" spans="2:10" ht="30" customHeight="1" thickBot="1" x14ac:dyDescent="0.35">
      <c r="B83" s="191"/>
      <c r="C83" s="446" t="s">
        <v>149</v>
      </c>
      <c r="D83" s="446"/>
      <c r="E83" s="192"/>
      <c r="F83" s="192"/>
      <c r="G83" s="192"/>
      <c r="H83" s="192"/>
      <c r="I83" s="216"/>
      <c r="J83" s="193"/>
    </row>
    <row r="84" spans="2:10" ht="25.25" customHeight="1" x14ac:dyDescent="0.3">
      <c r="C84" s="208" t="s">
        <v>150</v>
      </c>
      <c r="D84" s="195">
        <f>SUMPRODUCT((LEFT(G21:G35, 8)="Roboshot") / (COUNTIF(G21:G35, G21:G35 &amp; "") + (G21:G35="")))</f>
        <v>0</v>
      </c>
      <c r="E84" s="447" t="s">
        <v>90</v>
      </c>
      <c r="F84" s="447"/>
      <c r="G84" s="218">
        <v>0.20833333333333334</v>
      </c>
    </row>
    <row r="85" spans="2:10" x14ac:dyDescent="0.3">
      <c r="C85" s="208"/>
      <c r="D85" s="195"/>
      <c r="E85" s="447" t="s">
        <v>97</v>
      </c>
      <c r="F85" s="447"/>
      <c r="G85" s="195">
        <v>12</v>
      </c>
      <c r="H85" s="219" t="s">
        <v>23</v>
      </c>
    </row>
    <row r="87" spans="2:10" x14ac:dyDescent="0.3">
      <c r="G87" s="222" t="s">
        <v>96</v>
      </c>
      <c r="H87" s="139" t="s">
        <v>23</v>
      </c>
    </row>
    <row r="88" spans="2:10" x14ac:dyDescent="0.3">
      <c r="F88" s="208" t="s">
        <v>77</v>
      </c>
      <c r="G88" s="221">
        <f xml:space="preserve"> SUMIF($G$21:$G$35, +F88,$X$21:$X$35)</f>
        <v>0</v>
      </c>
      <c r="H88" s="220">
        <f>+G88/$G$85</f>
        <v>0</v>
      </c>
    </row>
    <row r="89" spans="2:10" x14ac:dyDescent="0.3">
      <c r="F89" s="208" t="s">
        <v>78</v>
      </c>
      <c r="G89" s="221">
        <f xml:space="preserve"> SUMIF($G$21:$G$35, +F89,$X$21:$X$35)</f>
        <v>0</v>
      </c>
      <c r="H89" s="220">
        <f t="shared" ref="H89:H90" si="16">+G89/$G$85</f>
        <v>0</v>
      </c>
    </row>
    <row r="90" spans="2:10" x14ac:dyDescent="0.3">
      <c r="F90" s="208" t="s">
        <v>79</v>
      </c>
      <c r="G90" s="221">
        <f xml:space="preserve"> SUMIF($G$21:$G$35, +F90,$X$21:$X$35)</f>
        <v>0</v>
      </c>
      <c r="H90" s="220">
        <f t="shared" si="16"/>
        <v>0</v>
      </c>
    </row>
    <row r="91" spans="2:10" x14ac:dyDescent="0.3">
      <c r="F91" s="208" t="s">
        <v>146</v>
      </c>
      <c r="G91" s="223">
        <f>+SUM(G88:G90)</f>
        <v>0</v>
      </c>
      <c r="H91" s="220">
        <f>+G91/$G$85</f>
        <v>0</v>
      </c>
    </row>
  </sheetData>
  <mergeCells count="38">
    <mergeCell ref="C39:D39"/>
    <mergeCell ref="G39:H39"/>
    <mergeCell ref="I39:J39"/>
    <mergeCell ref="K39:L39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  <mergeCell ref="E58:F58"/>
    <mergeCell ref="E40:F40"/>
    <mergeCell ref="E41:F41"/>
    <mergeCell ref="E42:F42"/>
    <mergeCell ref="E45:G45"/>
    <mergeCell ref="E49:G49"/>
    <mergeCell ref="E46:G46"/>
    <mergeCell ref="C83:D83"/>
    <mergeCell ref="E84:F84"/>
    <mergeCell ref="E85:F85"/>
    <mergeCell ref="E47:G47"/>
    <mergeCell ref="E51:G51"/>
    <mergeCell ref="E59:F59"/>
    <mergeCell ref="C69:D69"/>
    <mergeCell ref="E70:F70"/>
    <mergeCell ref="E71:F71"/>
    <mergeCell ref="E72:F72"/>
    <mergeCell ref="E73:F73"/>
    <mergeCell ref="E50:G50"/>
    <mergeCell ref="E53:G53"/>
    <mergeCell ref="C55:D55"/>
    <mergeCell ref="E56:F56"/>
    <mergeCell ref="E57:F57"/>
  </mergeCells>
  <conditionalFormatting sqref="H41:H42 J41:J42">
    <cfRule type="cellIs" dxfId="965" priority="13" operator="greaterThan">
      <formula>0.9</formula>
    </cfRule>
    <cfRule type="cellIs" dxfId="964" priority="14" operator="between">
      <formula>0.81</formula>
      <formula>0.89</formula>
    </cfRule>
    <cfRule type="cellIs" dxfId="963" priority="15" operator="lessThan">
      <formula>0.8</formula>
    </cfRule>
  </conditionalFormatting>
  <conditionalFormatting sqref="H58:H59">
    <cfRule type="cellIs" dxfId="962" priority="16" operator="greaterThan">
      <formula>0.9</formula>
    </cfRule>
    <cfRule type="cellIs" dxfId="961" priority="17" operator="between">
      <formula>0.81</formula>
      <formula>0.89</formula>
    </cfRule>
    <cfRule type="cellIs" dxfId="960" priority="18" operator="lessThan">
      <formula>0.8</formula>
    </cfRule>
  </conditionalFormatting>
  <conditionalFormatting sqref="H61:H67">
    <cfRule type="cellIs" dxfId="959" priority="19" operator="greaterThan">
      <formula>0.9</formula>
    </cfRule>
    <cfRule type="cellIs" dxfId="958" priority="20" operator="between">
      <formula>0.81</formula>
      <formula>0.89</formula>
    </cfRule>
    <cfRule type="cellIs" dxfId="957" priority="21" operator="lessThan">
      <formula>0.8</formula>
    </cfRule>
  </conditionalFormatting>
  <conditionalFormatting sqref="H72:H73">
    <cfRule type="cellIs" dxfId="956" priority="7" operator="greaterThan">
      <formula>0.9</formula>
    </cfRule>
    <cfRule type="cellIs" dxfId="955" priority="8" operator="between">
      <formula>0.81</formula>
      <formula>0.89</formula>
    </cfRule>
    <cfRule type="cellIs" dxfId="954" priority="9" operator="lessThan">
      <formula>0.8</formula>
    </cfRule>
  </conditionalFormatting>
  <conditionalFormatting sqref="H75:H81">
    <cfRule type="cellIs" dxfId="953" priority="10" operator="greaterThan">
      <formula>0.9</formula>
    </cfRule>
    <cfRule type="cellIs" dxfId="952" priority="11" operator="between">
      <formula>0.81</formula>
      <formula>0.89</formula>
    </cfRule>
    <cfRule type="cellIs" dxfId="951" priority="12" operator="lessThan">
      <formula>0.8</formula>
    </cfRule>
  </conditionalFormatting>
  <conditionalFormatting sqref="H88:H91">
    <cfRule type="cellIs" dxfId="950" priority="4" operator="greaterThan">
      <formula>0.9</formula>
    </cfRule>
    <cfRule type="cellIs" dxfId="949" priority="5" operator="between">
      <formula>0.81</formula>
      <formula>0.89</formula>
    </cfRule>
    <cfRule type="cellIs" dxfId="948" priority="6" operator="lessThan">
      <formula>0.8</formula>
    </cfRule>
  </conditionalFormatting>
  <conditionalFormatting sqref="L41:L42">
    <cfRule type="cellIs" dxfId="947" priority="1" operator="greaterThan">
      <formula>0.9</formula>
    </cfRule>
    <cfRule type="cellIs" dxfId="946" priority="2" operator="between">
      <formula>0.81</formula>
      <formula>0.89</formula>
    </cfRule>
    <cfRule type="cellIs" dxfId="945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80AED59-11E8-412D-978B-8E838AE86C6C}">
          <x14:formula1>
            <xm:f>Datos!$B$3:$B$8</xm:f>
          </x14:formula1>
          <xm:sqref>E21:E28 E31:E37</xm:sqref>
        </x14:dataValidation>
        <x14:dataValidation type="list" allowBlank="1" showInputMessage="1" showErrorMessage="1" xr:uid="{D64EC80D-205A-41FA-A576-4082EFFFE9C2}">
          <x14:formula1>
            <xm:f>Datos!$D$3:$D$27</xm:f>
          </x14:formula1>
          <xm:sqref>F21:F28 F31:F37</xm:sqref>
        </x14:dataValidation>
        <x14:dataValidation type="list" allowBlank="1" showInputMessage="1" showErrorMessage="1" xr:uid="{110A54F3-A390-428E-8088-57771AD1A11B}">
          <x14:formula1>
            <xm:f>Datos!$W$3:$W$12</xm:f>
          </x14:formula1>
          <xm:sqref>L21:L28 L31:L37</xm:sqref>
        </x14:dataValidation>
        <x14:dataValidation type="list" allowBlank="1" showInputMessage="1" showErrorMessage="1" xr:uid="{38329469-CB92-42CB-B2EA-53E778D3747D}">
          <x14:formula1>
            <xm:f>Datos!$F$3:$F$41</xm:f>
          </x14:formula1>
          <xm:sqref>G31:G37 G21:G28</xm:sqref>
        </x14:dataValidation>
        <x14:dataValidation type="list" allowBlank="1" showInputMessage="1" showErrorMessage="1" xr:uid="{3EB39533-598E-4E33-8E62-3BA32FF01B31}">
          <x14:formula1>
            <xm:f>Datos!$H$3:$H$26</xm:f>
          </x14:formula1>
          <xm:sqref>D34:D37 D25:D28</xm:sqref>
        </x14:dataValidation>
        <x14:dataValidation type="list" allowBlank="1" showInputMessage="1" showErrorMessage="1" xr:uid="{BBA853CD-07B8-462D-BB67-8F3BD502B63D}">
          <x14:formula1>
            <xm:f>Datos!$H$3:$H$52</xm:f>
          </x14:formula1>
          <xm:sqref>D31:D33</xm:sqref>
        </x14:dataValidation>
        <x14:dataValidation type="list" allowBlank="1" showInputMessage="1" showErrorMessage="1" xr:uid="{C7EB1097-2169-4462-9256-B17507745A88}">
          <x14:formula1>
            <xm:f>Datos!$H$3:$H$34</xm:f>
          </x14:formula1>
          <xm:sqref>D21:D24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9A8D-ED23-458E-80DC-DC8EEF7D0C3B}">
  <sheetPr>
    <pageSetUpPr fitToPage="1"/>
  </sheetPr>
  <dimension ref="B1:X92"/>
  <sheetViews>
    <sheetView showGridLines="0" topLeftCell="A19" zoomScale="85" zoomScaleNormal="85" zoomScaleSheetLayoutView="50" workbookViewId="0">
      <pane xSplit="3" ySplit="2" topLeftCell="D42" activePane="bottomRight" state="frozen"/>
      <selection activeCell="M54" sqref="M54"/>
      <selection pane="topRight" activeCell="M54" sqref="M54"/>
      <selection pane="bottomLeft" activeCell="M54" sqref="M54"/>
      <selection pane="bottomRight" activeCell="M54" sqref="M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14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0.85208333333333341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0.63902439024390245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+G68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+G82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+G92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63</v>
      </c>
      <c r="E21" s="172" t="s">
        <v>6</v>
      </c>
      <c r="F21" s="172" t="s">
        <v>169</v>
      </c>
      <c r="G21" s="172" t="s">
        <v>203</v>
      </c>
      <c r="H21" s="174">
        <v>0.90972222222222221</v>
      </c>
      <c r="I21" s="174">
        <v>0</v>
      </c>
      <c r="J21" s="175">
        <f t="shared" ref="J21:J28" si="0">MOD(I21-H21, 1)</f>
        <v>9.027777777777779E-2</v>
      </c>
      <c r="K21" s="178">
        <f>164-132</f>
        <v>32</v>
      </c>
      <c r="L21" s="177" t="s">
        <v>138</v>
      </c>
      <c r="M21" s="178">
        <v>3.8</v>
      </c>
      <c r="N21" s="179">
        <f>(32/164)</f>
        <v>0.1951219512195122</v>
      </c>
      <c r="O21" s="186" t="s">
        <v>300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2.6379864483185619E-2</v>
      </c>
      <c r="V21" s="183">
        <f>IF(OR(D21="Perforación de Fortificación", D21="Perforación de Avance", D21="Perforación Desquinche"), K21*M21, "")</f>
        <v>121.6</v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59</v>
      </c>
      <c r="E22" s="172" t="s">
        <v>6</v>
      </c>
      <c r="F22" s="172" t="s">
        <v>169</v>
      </c>
      <c r="G22" s="172" t="s">
        <v>213</v>
      </c>
      <c r="H22" s="174">
        <v>6.25E-2</v>
      </c>
      <c r="I22" s="174">
        <v>8.6805555555555552E-2</v>
      </c>
      <c r="J22" s="175">
        <f t="shared" ref="J22" si="1">MOD(I22-H22, 1)</f>
        <v>2.4305555555555552E-2</v>
      </c>
      <c r="K22" s="178"/>
      <c r="L22" s="177"/>
      <c r="M22" s="178"/>
      <c r="N22" s="179">
        <v>0</v>
      </c>
      <c r="O22" s="225" t="s">
        <v>303</v>
      </c>
      <c r="P22" s="181"/>
      <c r="Q22" s="174"/>
      <c r="R22" s="172"/>
      <c r="S22" s="175">
        <f t="shared" ref="S22" si="2">+MOD(R22-Q22,1)</f>
        <v>0</v>
      </c>
      <c r="U22" s="182">
        <f>+IFERROR(VLOOKUP(D22,Datos!$R$3:$T$19,3,FALSE), "0")*N22</f>
        <v>0</v>
      </c>
      <c r="V22" s="183" t="str">
        <f t="shared" ref="V22" si="3">IF(OR(D22="Perforación de Fortificación", D22="Perforación de Avance", D22="Perforación Desquinche"), K22*M22, "")</f>
        <v/>
      </c>
      <c r="W22" s="183" t="str">
        <f t="shared" ref="W22" si="4">IF(D22="Extracción de Marina Disparo",K22,"")</f>
        <v/>
      </c>
      <c r="X22" s="183" t="str">
        <f t="shared" ref="X22" si="5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227</v>
      </c>
      <c r="E23" s="172" t="s">
        <v>6</v>
      </c>
      <c r="F23" s="172" t="s">
        <v>169</v>
      </c>
      <c r="G23" s="172" t="s">
        <v>211</v>
      </c>
      <c r="H23" s="174">
        <v>8.6805555555555552E-2</v>
      </c>
      <c r="I23" s="174">
        <v>0.30972222222222223</v>
      </c>
      <c r="J23" s="175">
        <f t="shared" si="0"/>
        <v>0.22291666666666668</v>
      </c>
      <c r="K23" s="178"/>
      <c r="L23" s="177"/>
      <c r="M23" s="178"/>
      <c r="N23" s="179">
        <v>1</v>
      </c>
      <c r="O23" s="186" t="s">
        <v>304</v>
      </c>
      <c r="P23" s="181"/>
      <c r="Q23" s="174"/>
      <c r="R23" s="172"/>
      <c r="S23" s="175">
        <f t="shared" ref="S23:S29" si="6">+MOD(R23-Q23,1)</f>
        <v>0</v>
      </c>
      <c r="U23" s="182">
        <f>+IFERROR(VLOOKUP(D23,Datos!$R$3:$T$19,3,FALSE), "0")*N23</f>
        <v>8.3285795778665142E-2</v>
      </c>
      <c r="V23" s="183" t="str">
        <f t="shared" ref="V23:V29" si="7">IF(OR(D23="Perforación de Fortificación", D23="Perforación de Avance", D23="Perforación Desquinche"), K23*M23, "")</f>
        <v/>
      </c>
      <c r="W23" s="183" t="str">
        <f t="shared" ref="W23:W29" si="8">IF(D23="Extracción de Marina Disparo",K23,"")</f>
        <v/>
      </c>
      <c r="X23" s="183" t="str">
        <f t="shared" ref="X23:X29" si="9">IF(OR(D23="Shotcrete", D23="Pre Shotcrete"), K23, "")</f>
        <v/>
      </c>
    </row>
    <row r="24" spans="2:24" ht="38" customHeight="1" x14ac:dyDescent="0.3">
      <c r="B24" s="172">
        <v>3500</v>
      </c>
      <c r="C24" s="173" t="s">
        <v>306</v>
      </c>
      <c r="D24" s="173" t="s">
        <v>105</v>
      </c>
      <c r="E24" s="172" t="s">
        <v>6</v>
      </c>
      <c r="F24" s="172" t="s">
        <v>169</v>
      </c>
      <c r="G24" s="172" t="s">
        <v>204</v>
      </c>
      <c r="H24" s="174">
        <v>0.9375</v>
      </c>
      <c r="I24" s="174">
        <v>2.7777777777777776E-2</v>
      </c>
      <c r="J24" s="175">
        <f>MOD(I24-H24, 1)</f>
        <v>9.027777777777779E-2</v>
      </c>
      <c r="K24" s="178">
        <v>20</v>
      </c>
      <c r="L24" s="177" t="s">
        <v>128</v>
      </c>
      <c r="M24" s="178"/>
      <c r="N24" s="179">
        <v>1</v>
      </c>
      <c r="O24" s="225" t="s">
        <v>310</v>
      </c>
      <c r="P24" s="181"/>
      <c r="Q24" s="172"/>
      <c r="R24" s="172"/>
      <c r="S24" s="175">
        <f>+MOD(R24-Q24,1)</f>
        <v>0</v>
      </c>
      <c r="U24" s="182">
        <f>+IFERROR(VLOOKUP(D24,Datos!$R$3:$T$19,3,FALSE), "0")*N24</f>
        <v>0</v>
      </c>
      <c r="V24" s="183" t="str">
        <f>IF(OR(D24="Perforación de Fortificación", D24="Perforación de Avance", D24="Perforación Desquinche"), K24*M24, "")</f>
        <v/>
      </c>
      <c r="W24" s="183" t="str">
        <f>IF(D24="Extracción de Marina Disparo",K24,"")</f>
        <v/>
      </c>
      <c r="X24" s="183" t="str">
        <f>IF(OR(D24="Shotcrete", D24="Pre Shotcrete"), K24, "")</f>
        <v/>
      </c>
    </row>
    <row r="25" spans="2:24" ht="38" customHeight="1" x14ac:dyDescent="0.3">
      <c r="B25" s="172">
        <v>3500</v>
      </c>
      <c r="C25" s="173" t="s">
        <v>305</v>
      </c>
      <c r="D25" s="173" t="s">
        <v>105</v>
      </c>
      <c r="E25" s="172" t="s">
        <v>6</v>
      </c>
      <c r="F25" s="172" t="s">
        <v>169</v>
      </c>
      <c r="G25" s="172" t="s">
        <v>204</v>
      </c>
      <c r="H25" s="174">
        <v>3.125E-2</v>
      </c>
      <c r="I25" s="174">
        <v>0.11805555555555555</v>
      </c>
      <c r="J25" s="175">
        <f t="shared" si="0"/>
        <v>8.6805555555555552E-2</v>
      </c>
      <c r="K25" s="178">
        <v>18</v>
      </c>
      <c r="L25" s="177" t="s">
        <v>128</v>
      </c>
      <c r="M25" s="178"/>
      <c r="N25" s="179">
        <v>1</v>
      </c>
      <c r="O25" s="225" t="s">
        <v>310</v>
      </c>
      <c r="P25" s="181"/>
      <c r="Q25" s="174"/>
      <c r="R25" s="174"/>
      <c r="S25" s="175">
        <f t="shared" si="6"/>
        <v>0</v>
      </c>
      <c r="U25" s="182">
        <f>+IFERROR(VLOOKUP(D25,Datos!$R$3:$T$19,3,FALSE), "0")*N25</f>
        <v>0</v>
      </c>
      <c r="V25" s="183" t="str">
        <f t="shared" si="7"/>
        <v/>
      </c>
      <c r="W25" s="183" t="str">
        <f t="shared" si="8"/>
        <v/>
      </c>
      <c r="X25" s="183" t="str">
        <f t="shared" si="9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>
        <f t="shared" si="0"/>
        <v>0</v>
      </c>
      <c r="K26" s="178"/>
      <c r="L26" s="177"/>
      <c r="M26" s="178"/>
      <c r="N26" s="179"/>
      <c r="O26" s="225"/>
      <c r="P26" s="181"/>
      <c r="Q26" s="172"/>
      <c r="R26" s="172"/>
      <c r="S26" s="175">
        <f t="shared" si="6"/>
        <v>0</v>
      </c>
      <c r="U26" s="182">
        <f>+IFERROR(VLOOKUP(D26,Datos!$R$3:$T$19,3,FALSE), "0")*N26</f>
        <v>0</v>
      </c>
      <c r="V26" s="183" t="str">
        <f t="shared" si="7"/>
        <v/>
      </c>
      <c r="W26" s="183" t="str">
        <f t="shared" si="8"/>
        <v/>
      </c>
      <c r="X26" s="183" t="str">
        <f t="shared" si="9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/>
      <c r="J27" s="175">
        <f t="shared" si="0"/>
        <v>0</v>
      </c>
      <c r="K27" s="178"/>
      <c r="L27" s="177"/>
      <c r="M27" s="178"/>
      <c r="N27" s="179"/>
      <c r="O27" s="225"/>
      <c r="P27" s="181"/>
      <c r="Q27" s="172"/>
      <c r="R27" s="172"/>
      <c r="S27" s="175"/>
      <c r="U27" s="182"/>
      <c r="V27" s="183"/>
      <c r="W27" s="183" t="str">
        <f t="shared" si="8"/>
        <v/>
      </c>
      <c r="X27" s="183" t="str">
        <f t="shared" si="9"/>
        <v/>
      </c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/>
      <c r="J28" s="175">
        <f t="shared" si="0"/>
        <v>0</v>
      </c>
      <c r="K28" s="178"/>
      <c r="L28" s="177"/>
      <c r="M28" s="178"/>
      <c r="N28" s="179"/>
      <c r="O28" s="225"/>
      <c r="P28" s="181"/>
      <c r="Q28" s="172"/>
      <c r="R28" s="172"/>
      <c r="S28" s="175"/>
      <c r="U28" s="182"/>
      <c r="V28" s="183"/>
      <c r="W28" s="183"/>
      <c r="X28" s="183"/>
    </row>
    <row r="29" spans="2:24" ht="38" customHeight="1" x14ac:dyDescent="0.3">
      <c r="B29" s="172"/>
      <c r="C29" s="173"/>
      <c r="D29" s="173"/>
      <c r="E29" s="172"/>
      <c r="F29" s="172"/>
      <c r="G29" s="172"/>
      <c r="H29" s="174"/>
      <c r="I29" s="174"/>
      <c r="J29" s="175">
        <f>SUM(J21:J23)</f>
        <v>0.33750000000000002</v>
      </c>
      <c r="K29" s="178"/>
      <c r="L29" s="177"/>
      <c r="M29" s="178"/>
      <c r="N29" s="179"/>
      <c r="O29" s="225"/>
      <c r="P29" s="172"/>
      <c r="Q29" s="172"/>
      <c r="R29" s="172"/>
      <c r="S29" s="175">
        <f t="shared" si="6"/>
        <v>0</v>
      </c>
      <c r="U29" s="184"/>
      <c r="V29" s="183" t="str">
        <f t="shared" si="7"/>
        <v/>
      </c>
      <c r="W29" s="183" t="str">
        <f t="shared" si="8"/>
        <v/>
      </c>
      <c r="X29" s="183" t="str">
        <f t="shared" si="9"/>
        <v/>
      </c>
    </row>
    <row r="30" spans="2:24" x14ac:dyDescent="0.3">
      <c r="B30" s="185" t="s">
        <v>158</v>
      </c>
      <c r="C30" s="63" t="s">
        <v>194</v>
      </c>
      <c r="D30" s="63"/>
      <c r="E30" s="63"/>
      <c r="F30" s="63"/>
      <c r="G30" s="63"/>
      <c r="H30" s="63"/>
      <c r="I30" s="63"/>
      <c r="J30" s="64"/>
      <c r="K30" s="64"/>
      <c r="L30" s="171"/>
      <c r="M30" s="63"/>
      <c r="N30" s="64"/>
      <c r="O30" s="64"/>
      <c r="P30" s="63"/>
      <c r="Q30" s="63"/>
      <c r="R30" s="63"/>
      <c r="S30" s="64"/>
      <c r="U30" s="63"/>
      <c r="V30" s="64"/>
      <c r="W30" s="64"/>
      <c r="X30" s="64"/>
    </row>
    <row r="31" spans="2:24" ht="52" x14ac:dyDescent="0.3">
      <c r="B31" s="63" t="s">
        <v>3</v>
      </c>
      <c r="C31" s="63" t="s">
        <v>2</v>
      </c>
      <c r="D31" s="63" t="s">
        <v>5</v>
      </c>
      <c r="E31" s="63" t="s">
        <v>22</v>
      </c>
      <c r="F31" s="63" t="s">
        <v>139</v>
      </c>
      <c r="G31" s="63" t="s">
        <v>29</v>
      </c>
      <c r="H31" s="63" t="s">
        <v>121</v>
      </c>
      <c r="I31" s="63" t="s">
        <v>4</v>
      </c>
      <c r="J31" s="64" t="s">
        <v>122</v>
      </c>
      <c r="K31" s="64" t="s">
        <v>131</v>
      </c>
      <c r="L31" s="171" t="s">
        <v>123</v>
      </c>
      <c r="M31" s="63" t="s">
        <v>134</v>
      </c>
      <c r="N31" s="64" t="s">
        <v>24</v>
      </c>
      <c r="O31" s="64" t="s">
        <v>130</v>
      </c>
      <c r="P31" s="63" t="s">
        <v>132</v>
      </c>
      <c r="Q31" s="63" t="s">
        <v>121</v>
      </c>
      <c r="R31" s="63" t="s">
        <v>4</v>
      </c>
      <c r="S31" s="64" t="s">
        <v>137</v>
      </c>
      <c r="U31" s="63" t="s">
        <v>109</v>
      </c>
      <c r="V31" s="64" t="s">
        <v>87</v>
      </c>
      <c r="W31" s="64" t="s">
        <v>128</v>
      </c>
      <c r="X31" s="64" t="s">
        <v>128</v>
      </c>
    </row>
    <row r="32" spans="2:24" ht="38" customHeight="1" x14ac:dyDescent="0.3">
      <c r="B32" s="172">
        <v>3700</v>
      </c>
      <c r="C32" s="173" t="str">
        <f>+Datos!R23</f>
        <v>Ciclo Minero 5,2 x 5,6 m
Galería Acceso Portal de Servicio</v>
      </c>
      <c r="D32" s="173" t="s">
        <v>57</v>
      </c>
      <c r="E32" s="172" t="s">
        <v>6</v>
      </c>
      <c r="F32" s="172" t="s">
        <v>170</v>
      </c>
      <c r="G32" s="172" t="s">
        <v>203</v>
      </c>
      <c r="H32" s="174">
        <v>0.92361111111111116</v>
      </c>
      <c r="I32" s="174">
        <v>0</v>
      </c>
      <c r="J32" s="175">
        <f t="shared" ref="J32:J34" si="10">MOD(I32-H32, 1)</f>
        <v>7.638888888888884E-2</v>
      </c>
      <c r="K32" s="178">
        <v>20</v>
      </c>
      <c r="L32" s="177" t="s">
        <v>138</v>
      </c>
      <c r="M32" s="178">
        <v>3</v>
      </c>
      <c r="N32" s="179">
        <v>1</v>
      </c>
      <c r="O32" s="188" t="s">
        <v>307</v>
      </c>
      <c r="P32" s="181"/>
      <c r="Q32" s="174"/>
      <c r="R32" s="174"/>
      <c r="S32" s="175">
        <f t="shared" ref="S32" si="11">MOD(R32-Q32, 1)</f>
        <v>0</v>
      </c>
      <c r="U32" s="187">
        <f>+IFERROR(VLOOKUP(D32,Datos!$R$24:$T$40,3,FALSE), "0")*N32</f>
        <v>7.42913000977517E-2</v>
      </c>
      <c r="V32" s="183">
        <f t="shared" ref="V32:V38" si="12">IF(OR(D32="Perforación de Fortificación", D32="Perforación de Avance", D32="Perforación Desquinche"), K32*M32, "")</f>
        <v>60</v>
      </c>
      <c r="W32" s="183" t="str">
        <f>IF(D32="Extracción de Marina Disparo",K32,"")</f>
        <v/>
      </c>
      <c r="X32" s="183" t="str">
        <f t="shared" ref="X32:X38" si="13">IF(OR(D32="Shotcrete", D32="Pre Shotcrete"), K32, "")</f>
        <v/>
      </c>
    </row>
    <row r="33" spans="2:24" ht="53.4" customHeight="1" x14ac:dyDescent="0.3">
      <c r="B33" s="172">
        <v>3700</v>
      </c>
      <c r="C33" s="173" t="str">
        <f>+C32</f>
        <v>Ciclo Minero 5,2 x 5,6 m
Galería Acceso Portal de Servicio</v>
      </c>
      <c r="D33" s="173" t="s">
        <v>54</v>
      </c>
      <c r="E33" s="172" t="s">
        <v>6</v>
      </c>
      <c r="F33" s="172" t="s">
        <v>170</v>
      </c>
      <c r="G33" s="172" t="s">
        <v>211</v>
      </c>
      <c r="H33" s="174">
        <v>4.1666666666666664E-2</v>
      </c>
      <c r="I33" s="174">
        <v>0.125</v>
      </c>
      <c r="J33" s="175">
        <f t="shared" si="10"/>
        <v>8.3333333333333343E-2</v>
      </c>
      <c r="K33" s="178">
        <v>20</v>
      </c>
      <c r="L33" s="177" t="s">
        <v>125</v>
      </c>
      <c r="M33" s="178">
        <v>3</v>
      </c>
      <c r="N33" s="179">
        <v>1</v>
      </c>
      <c r="O33" s="188" t="s">
        <v>308</v>
      </c>
      <c r="P33" s="172"/>
      <c r="Q33" s="172"/>
      <c r="R33" s="172"/>
      <c r="S33" s="175">
        <f t="shared" ref="S33:S38" si="14">+MOD(R33-Q33,1)</f>
        <v>0</v>
      </c>
      <c r="U33" s="187">
        <f>+IFERROR(VLOOKUP(D33,Datos!$R$24:$T$40,3,FALSE), "0")*N33</f>
        <v>0.14662756598240467</v>
      </c>
      <c r="V33" s="183" t="str">
        <f t="shared" si="12"/>
        <v/>
      </c>
      <c r="W33" s="183" t="str">
        <f t="shared" ref="W33:W38" si="15">IF(D33="Extracción de Marina Disparo",K33,"")</f>
        <v/>
      </c>
      <c r="X33" s="183" t="str">
        <f t="shared" si="13"/>
        <v/>
      </c>
    </row>
    <row r="34" spans="2:24" ht="38" customHeight="1" x14ac:dyDescent="0.3">
      <c r="B34" s="172">
        <v>3700</v>
      </c>
      <c r="C34" s="173" t="str">
        <f>+C33</f>
        <v>Ciclo Minero 5,2 x 5,6 m
Galería Acceso Portal de Servicio</v>
      </c>
      <c r="D34" s="173" t="s">
        <v>106</v>
      </c>
      <c r="E34" s="172" t="s">
        <v>6</v>
      </c>
      <c r="F34" s="172" t="s">
        <v>170</v>
      </c>
      <c r="G34" s="172" t="s">
        <v>203</v>
      </c>
      <c r="H34" s="174">
        <v>0</v>
      </c>
      <c r="I34" s="174">
        <v>4.1666666666666664E-2</v>
      </c>
      <c r="J34" s="175">
        <f t="shared" si="10"/>
        <v>4.1666666666666664E-2</v>
      </c>
      <c r="K34" s="178"/>
      <c r="L34" s="177"/>
      <c r="M34" s="178"/>
      <c r="N34" s="179">
        <v>0</v>
      </c>
      <c r="O34" s="188" t="s">
        <v>309</v>
      </c>
      <c r="P34" s="181"/>
      <c r="Q34" s="174"/>
      <c r="R34" s="174"/>
      <c r="S34" s="175">
        <f t="shared" si="14"/>
        <v>0</v>
      </c>
      <c r="U34" s="187">
        <f>+IFERROR(VLOOKUP(D34,Datos!$R$24:$T$40,3,FALSE), "0")*N34</f>
        <v>0</v>
      </c>
      <c r="V34" s="183">
        <f t="shared" si="12"/>
        <v>0</v>
      </c>
      <c r="W34" s="183" t="str">
        <f t="shared" si="15"/>
        <v/>
      </c>
      <c r="X34" s="183" t="str">
        <f t="shared" si="13"/>
        <v/>
      </c>
    </row>
    <row r="35" spans="2:24" ht="38" customHeight="1" x14ac:dyDescent="0.3">
      <c r="B35" s="172">
        <v>3700</v>
      </c>
      <c r="C35" s="173" t="str">
        <f>+C34</f>
        <v>Ciclo Minero 5,2 x 5,6 m
Galería Acceso Portal de Servicio</v>
      </c>
      <c r="D35" s="173" t="s">
        <v>227</v>
      </c>
      <c r="E35" s="172" t="s">
        <v>6</v>
      </c>
      <c r="F35" s="172" t="s">
        <v>170</v>
      </c>
      <c r="G35" s="172"/>
      <c r="H35" s="174">
        <v>0.125</v>
      </c>
      <c r="I35" s="174">
        <v>0.1875</v>
      </c>
      <c r="J35" s="175">
        <f t="shared" ref="J35" si="16">MOD(I35-H35, 1)</f>
        <v>6.25E-2</v>
      </c>
      <c r="K35" s="178"/>
      <c r="L35" s="177"/>
      <c r="M35" s="178"/>
      <c r="N35" s="179">
        <v>0</v>
      </c>
      <c r="O35" s="188" t="s">
        <v>309</v>
      </c>
      <c r="P35" s="181"/>
      <c r="Q35" s="174"/>
      <c r="R35" s="174"/>
      <c r="S35" s="175">
        <f t="shared" ref="S35" si="17">+MOD(R35-Q35,1)</f>
        <v>0</v>
      </c>
      <c r="U35" s="187">
        <f>+IFERROR(VLOOKUP(D35,Datos!$R$24:$T$40,3,FALSE), "0")*N35</f>
        <v>0</v>
      </c>
      <c r="V35" s="183" t="str">
        <f t="shared" ref="V35" si="18">IF(OR(D35="Perforación de Fortificación", D35="Perforación de Avance", D35="Perforación Desquinche"), K35*M35, "")</f>
        <v/>
      </c>
      <c r="W35" s="183" t="str">
        <f t="shared" ref="W35" si="19">IF(D35="Extracción de Marina Disparo",K35,"")</f>
        <v/>
      </c>
      <c r="X35" s="183" t="str">
        <f t="shared" ref="X35" si="20">IF(OR(D35="Shotcrete", D35="Pre Shotcrete"), K35, "")</f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/>
      <c r="K36" s="178"/>
      <c r="L36" s="177"/>
      <c r="M36" s="178"/>
      <c r="N36" s="179"/>
      <c r="O36" s="188"/>
      <c r="P36" s="172"/>
      <c r="Q36" s="172"/>
      <c r="R36" s="172"/>
      <c r="S36" s="175">
        <f t="shared" si="14"/>
        <v>0</v>
      </c>
      <c r="U36" s="187"/>
      <c r="V36" s="183" t="str">
        <f t="shared" si="12"/>
        <v/>
      </c>
      <c r="W36" s="183" t="str">
        <f t="shared" si="15"/>
        <v/>
      </c>
      <c r="X36" s="183" t="str">
        <f t="shared" si="13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2"/>
      <c r="J37" s="175"/>
      <c r="K37" s="178"/>
      <c r="L37" s="177"/>
      <c r="M37" s="178"/>
      <c r="N37" s="179"/>
      <c r="O37" s="188"/>
      <c r="P37" s="172"/>
      <c r="Q37" s="172"/>
      <c r="R37" s="172"/>
      <c r="S37" s="175">
        <f t="shared" si="14"/>
        <v>0</v>
      </c>
      <c r="U37" s="184"/>
      <c r="V37" s="183" t="str">
        <f t="shared" si="12"/>
        <v/>
      </c>
      <c r="W37" s="183" t="str">
        <f t="shared" si="15"/>
        <v/>
      </c>
      <c r="X37" s="183" t="str">
        <f t="shared" si="13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2"/>
      <c r="J38" s="175">
        <f>SUM(J32:J33)+J35</f>
        <v>0.22222222222222218</v>
      </c>
      <c r="K38" s="178"/>
      <c r="L38" s="177"/>
      <c r="M38" s="178"/>
      <c r="N38" s="179"/>
      <c r="O38" s="188"/>
      <c r="P38" s="172"/>
      <c r="Q38" s="172"/>
      <c r="R38" s="172"/>
      <c r="S38" s="175">
        <f t="shared" si="14"/>
        <v>0</v>
      </c>
      <c r="U38" s="189"/>
      <c r="V38" s="183" t="str">
        <f t="shared" si="12"/>
        <v/>
      </c>
      <c r="W38" s="183" t="str">
        <f t="shared" si="15"/>
        <v/>
      </c>
      <c r="X38" s="183" t="str">
        <f t="shared" si="13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SUMPRODUCT((LEFT(F21:F36, 1)="C") / (COUNTIF(F21:F36, F21:F36 &amp; "") + (F21:F36="")))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SUMPRODUCT((LEFT(F21:F36, 1)="O") / (COUNTIF(F21:F36, F21:F36 &amp; "") + (F21:F36="")))</f>
        <v>0</v>
      </c>
      <c r="E42" s="448" t="s">
        <v>198</v>
      </c>
      <c r="F42" s="448"/>
      <c r="G42" s="199">
        <f>SUM(J21:J29)</f>
        <v>0.85208333333333341</v>
      </c>
      <c r="H42" s="200">
        <f>+G42*24/($G$41*24)</f>
        <v>3.2720000000000002</v>
      </c>
      <c r="I42" s="199">
        <f>SUM(J32:J36)</f>
        <v>0.26388888888888884</v>
      </c>
      <c r="J42" s="200">
        <f>+I42*24/($I$41*24)</f>
        <v>1.0133333333333332</v>
      </c>
      <c r="K42" s="201">
        <f>AVERAGE(G42+I42)/2</f>
        <v>0.55798611111111107</v>
      </c>
      <c r="L42" s="200">
        <f>+K42*24/($K$41*24)</f>
        <v>2.1426666666666665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+AVERAGE(N21:N29)</f>
        <v>0.63902439024390245</v>
      </c>
      <c r="I43" s="202"/>
      <c r="J43" s="203">
        <f>+AVERAGE(N32:N36)</f>
        <v>0.5</v>
      </c>
      <c r="K43" s="204"/>
      <c r="L43" s="203">
        <f>+AVERAGE(N21:N36)</f>
        <v>0.57723577235772361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258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SUMPRODUCT(N32:N38 * U32:U38 * (N32:N38&lt;&gt;"") * (U32:U38&lt;&gt;""))</f>
        <v>0.22091886608015637</v>
      </c>
      <c r="I46" s="210">
        <f>+H46*$J$46*$K$46</f>
        <v>4.9865806451612888</v>
      </c>
      <c r="J46" s="211">
        <v>6.6</v>
      </c>
      <c r="K46" s="246">
        <v>3.42</v>
      </c>
      <c r="L46" s="344">
        <v>56.080975609756102</v>
      </c>
      <c r="M46" s="344">
        <f>+L46*K46*H46</f>
        <v>42.371561748086684</v>
      </c>
    </row>
    <row r="47" spans="2:24" ht="14.4" customHeight="1" x14ac:dyDescent="0.35">
      <c r="E47" s="445" t="s">
        <v>224</v>
      </c>
      <c r="F47" s="445"/>
      <c r="G47" s="445"/>
      <c r="H47" s="209"/>
      <c r="I47" s="210">
        <f>+J47*K47</f>
        <v>0</v>
      </c>
      <c r="J47" s="214">
        <f>1892/1000000</f>
        <v>1.892E-3</v>
      </c>
      <c r="K47" s="246">
        <f>+((15*4.4)*2.72)*0</f>
        <v>0</v>
      </c>
      <c r="L47" s="346">
        <v>1.6919982016368774E-2</v>
      </c>
      <c r="M47" s="344">
        <f>+L47*K47</f>
        <v>0</v>
      </c>
    </row>
    <row r="48" spans="2:24" ht="14.4" customHeight="1" x14ac:dyDescent="0.35">
      <c r="E48" s="445" t="s">
        <v>298</v>
      </c>
      <c r="F48" s="445"/>
      <c r="G48" s="445"/>
      <c r="H48" s="209"/>
      <c r="I48" s="210">
        <f>SUM(I46:I47)</f>
        <v>4.9865806451612888</v>
      </c>
      <c r="J48" s="214"/>
      <c r="K48" s="246"/>
      <c r="L48" s="346"/>
      <c r="M48" s="344"/>
    </row>
    <row r="49" spans="2:13" ht="14.4" customHeight="1" x14ac:dyDescent="0.35">
      <c r="E49" s="227"/>
      <c r="F49" s="227"/>
      <c r="G49" s="227"/>
      <c r="H49" s="209"/>
      <c r="I49" s="210"/>
      <c r="J49" s="214"/>
      <c r="K49" s="246"/>
      <c r="L49" s="346"/>
      <c r="M49" s="344"/>
    </row>
    <row r="50" spans="2:13" ht="14.4" customHeight="1" x14ac:dyDescent="0.35">
      <c r="E50" s="445" t="s">
        <v>175</v>
      </c>
      <c r="F50" s="445"/>
      <c r="G50" s="445"/>
      <c r="H50" s="209">
        <f>+SUMPRODUCT(N21:N29 * U21:U29 * (N21:N29&lt;&gt;"") * (U21:U29&lt;&gt;""))</f>
        <v>8.8433086409530626E-2</v>
      </c>
      <c r="I50" s="210">
        <f>+H50*$J$50*$K$50</f>
        <v>3.568805635143018</v>
      </c>
      <c r="J50" s="211">
        <v>11.8</v>
      </c>
      <c r="K50" s="246">
        <v>3.42</v>
      </c>
      <c r="L50" s="344">
        <v>118.52055555555555</v>
      </c>
      <c r="M50" s="344">
        <f>+L50*K50*H50</f>
        <v>35.84549377516506</v>
      </c>
    </row>
    <row r="51" spans="2:13" ht="14.4" customHeight="1" x14ac:dyDescent="0.35">
      <c r="E51" s="445" t="s">
        <v>225</v>
      </c>
      <c r="F51" s="445"/>
      <c r="G51" s="445"/>
      <c r="H51" s="209"/>
      <c r="I51" s="210">
        <f>+J51*K51</f>
        <v>0</v>
      </c>
      <c r="J51" s="214">
        <f>+J47</f>
        <v>1.892E-3</v>
      </c>
      <c r="K51" s="246">
        <f>+((15*2.8)*2.72)*0</f>
        <v>0</v>
      </c>
      <c r="L51" s="346">
        <v>1.6919982016368774E-2</v>
      </c>
      <c r="M51" s="344">
        <f>+L51*K51</f>
        <v>0</v>
      </c>
    </row>
    <row r="52" spans="2:13" ht="14.4" customHeight="1" x14ac:dyDescent="0.3">
      <c r="E52" s="445" t="s">
        <v>297</v>
      </c>
      <c r="F52" s="445"/>
      <c r="G52" s="445"/>
      <c r="H52" s="209"/>
      <c r="I52" s="210">
        <f>SUM(I50:I51)</f>
        <v>3.568805635143018</v>
      </c>
      <c r="J52" s="214"/>
      <c r="K52" s="246"/>
      <c r="L52" s="351"/>
      <c r="M52" s="349"/>
    </row>
    <row r="53" spans="2:13" ht="14.4" customHeight="1" x14ac:dyDescent="0.3">
      <c r="E53" s="227"/>
      <c r="F53" s="227"/>
      <c r="G53" s="227"/>
      <c r="H53" s="209"/>
      <c r="I53" s="210"/>
      <c r="J53" s="214"/>
      <c r="K53" s="246"/>
      <c r="L53" s="351"/>
      <c r="M53" s="349"/>
    </row>
    <row r="54" spans="2:13" ht="14.4" customHeight="1" x14ac:dyDescent="0.35">
      <c r="E54" s="445" t="s">
        <v>236</v>
      </c>
      <c r="F54" s="445"/>
      <c r="G54" s="445"/>
      <c r="H54" s="209"/>
      <c r="I54" s="210">
        <f>+J54*K54</f>
        <v>0</v>
      </c>
      <c r="J54" s="214">
        <f>25508/1000000</f>
        <v>2.5507999999999999E-2</v>
      </c>
      <c r="K54" s="246">
        <f>14.43*0</f>
        <v>0</v>
      </c>
      <c r="L54" s="347" t="s">
        <v>486</v>
      </c>
      <c r="M54" s="344"/>
    </row>
    <row r="55" spans="2:13" ht="13.5" thickBot="1" x14ac:dyDescent="0.35">
      <c r="M55" s="352">
        <f>SUM(M46:M54)</f>
        <v>78.217055523251744</v>
      </c>
    </row>
    <row r="56" spans="2:13" ht="30" customHeight="1" thickBot="1" x14ac:dyDescent="0.35">
      <c r="B56" s="191"/>
      <c r="C56" s="446" t="s">
        <v>88</v>
      </c>
      <c r="D56" s="446"/>
      <c r="E56" s="192"/>
      <c r="F56" s="192"/>
      <c r="G56" s="192"/>
      <c r="H56" s="192"/>
      <c r="I56" s="216"/>
      <c r="J56" s="193"/>
    </row>
    <row r="57" spans="2:13" ht="38" customHeight="1" x14ac:dyDescent="0.3">
      <c r="C57" s="217" t="s">
        <v>89</v>
      </c>
      <c r="D57" s="195">
        <f>SUMPRODUCT((LEFT(G21:G36, 5)="Jumbo") / (COUNTIF(G21:G36, G21:G36 &amp; "") + (G21:G36="")))</f>
        <v>1</v>
      </c>
      <c r="E57" s="447" t="s">
        <v>90</v>
      </c>
      <c r="F57" s="447"/>
      <c r="G57" s="218">
        <v>0.20833333333333334</v>
      </c>
      <c r="I57" s="139"/>
      <c r="J57" s="190"/>
    </row>
    <row r="58" spans="2:13" ht="38" customHeight="1" x14ac:dyDescent="0.3">
      <c r="E58" s="447" t="s">
        <v>93</v>
      </c>
      <c r="F58" s="447"/>
      <c r="G58" s="195">
        <f>15000/(60)</f>
        <v>250</v>
      </c>
      <c r="H58" s="219" t="s">
        <v>143</v>
      </c>
      <c r="I58" s="139"/>
      <c r="J58" s="190"/>
    </row>
    <row r="59" spans="2:13" ht="38" customHeight="1" x14ac:dyDescent="0.3">
      <c r="E59" s="448" t="s">
        <v>91</v>
      </c>
      <c r="F59" s="448"/>
      <c r="G59" s="207">
        <f>+SUM(SUMIF($G$21:$G$36, "Jumbo*", $J$21:$J$36))/SUMPRODUCT((LEFT(G21:G36, 5)="Jumbo") / (COUNTIF(G21:G36, G21:G36 &amp; "") + (G21:G36="")))</f>
        <v>0.20833333333333329</v>
      </c>
      <c r="H59" s="220">
        <f>+G59*24/($G$57*24)</f>
        <v>0.99999999999999978</v>
      </c>
      <c r="I59" s="190"/>
      <c r="J59" s="190"/>
    </row>
    <row r="60" spans="2:13" ht="38" customHeight="1" x14ac:dyDescent="0.3">
      <c r="E60" s="448" t="s">
        <v>92</v>
      </c>
      <c r="F60" s="448"/>
      <c r="G60" s="221">
        <f>+SUM(V21:V36)/D57</f>
        <v>181.6</v>
      </c>
      <c r="H60" s="220">
        <f>+G60/G58</f>
        <v>0.72639999999999993</v>
      </c>
      <c r="I60" s="190"/>
      <c r="J60" s="190"/>
    </row>
    <row r="61" spans="2:13" ht="38" customHeight="1" x14ac:dyDescent="0.3">
      <c r="G61" s="222" t="s">
        <v>87</v>
      </c>
      <c r="H61" s="139" t="s">
        <v>23</v>
      </c>
    </row>
    <row r="62" spans="2:13" ht="20" customHeight="1" x14ac:dyDescent="0.3">
      <c r="F62" s="208" t="s">
        <v>65</v>
      </c>
      <c r="G62" s="221">
        <f t="shared" ref="G62:G67" si="21" xml:space="preserve"> SUMIF($G$21:$G$36, +F62,$V$21:$V$36)</f>
        <v>0</v>
      </c>
      <c r="H62" s="220">
        <f t="shared" ref="H62:H67" si="22">+G62/$G$58</f>
        <v>0</v>
      </c>
    </row>
    <row r="63" spans="2:13" ht="20" customHeight="1" x14ac:dyDescent="0.3">
      <c r="F63" s="208" t="s">
        <v>66</v>
      </c>
      <c r="G63" s="221">
        <f t="shared" si="21"/>
        <v>0</v>
      </c>
      <c r="H63" s="220">
        <f t="shared" si="22"/>
        <v>0</v>
      </c>
    </row>
    <row r="64" spans="2:13" ht="20" customHeight="1" x14ac:dyDescent="0.3">
      <c r="F64" s="208" t="s">
        <v>67</v>
      </c>
      <c r="G64" s="221">
        <f t="shared" si="21"/>
        <v>0</v>
      </c>
      <c r="H64" s="220">
        <f t="shared" si="22"/>
        <v>0</v>
      </c>
    </row>
    <row r="65" spans="2:10" ht="20" customHeight="1" x14ac:dyDescent="0.3">
      <c r="F65" s="208" t="s">
        <v>68</v>
      </c>
      <c r="G65" s="221">
        <f t="shared" si="21"/>
        <v>0</v>
      </c>
      <c r="H65" s="220">
        <f t="shared" si="22"/>
        <v>0</v>
      </c>
    </row>
    <row r="66" spans="2:10" ht="20" customHeight="1" x14ac:dyDescent="0.3">
      <c r="F66" s="208" t="s">
        <v>69</v>
      </c>
      <c r="G66" s="221">
        <f t="shared" si="21"/>
        <v>0</v>
      </c>
      <c r="H66" s="220">
        <f t="shared" si="22"/>
        <v>0</v>
      </c>
    </row>
    <row r="67" spans="2:10" ht="20" customHeight="1" x14ac:dyDescent="0.3">
      <c r="F67" s="208" t="s">
        <v>70</v>
      </c>
      <c r="G67" s="221">
        <f t="shared" si="21"/>
        <v>0</v>
      </c>
      <c r="H67" s="220">
        <f t="shared" si="22"/>
        <v>0</v>
      </c>
    </row>
    <row r="68" spans="2:10" ht="20" customHeight="1" x14ac:dyDescent="0.3">
      <c r="F68" s="208" t="s">
        <v>146</v>
      </c>
      <c r="G68" s="223">
        <f>+SUM(G62:G67)</f>
        <v>0</v>
      </c>
      <c r="H68" s="220">
        <f>+G68/($G$58*$D$57)</f>
        <v>0</v>
      </c>
    </row>
    <row r="69" spans="2:10" ht="13.5" thickBot="1" x14ac:dyDescent="0.35"/>
    <row r="70" spans="2:10" ht="30" customHeight="1" thickBot="1" x14ac:dyDescent="0.35">
      <c r="B70" s="191"/>
      <c r="C70" s="446" t="s">
        <v>107</v>
      </c>
      <c r="D70" s="446"/>
      <c r="E70" s="192"/>
      <c r="F70" s="192"/>
      <c r="G70" s="192"/>
      <c r="H70" s="192"/>
      <c r="I70" s="216"/>
      <c r="J70" s="193"/>
    </row>
    <row r="71" spans="2:10" ht="38" customHeight="1" x14ac:dyDescent="0.3">
      <c r="C71" s="208" t="s">
        <v>95</v>
      </c>
      <c r="D71" s="195">
        <f>SUMPRODUCT((LEFT(G21:G36, 5)="Scoop") / (COUNTIF(G21:G36, G21:G36 &amp; "") + (G21:G36="")))</f>
        <v>1</v>
      </c>
      <c r="E71" s="447" t="s">
        <v>90</v>
      </c>
      <c r="F71" s="447"/>
      <c r="G71" s="218">
        <v>0.20833333333333334</v>
      </c>
      <c r="I71" s="139"/>
      <c r="J71" s="190"/>
    </row>
    <row r="72" spans="2:10" ht="38" customHeight="1" x14ac:dyDescent="0.3">
      <c r="C72" s="208" t="s">
        <v>145</v>
      </c>
      <c r="D72" s="195">
        <v>4.9000000000000004</v>
      </c>
      <c r="E72" s="447" t="s">
        <v>97</v>
      </c>
      <c r="F72" s="447"/>
      <c r="G72" s="195">
        <f>15000/(60)</f>
        <v>250</v>
      </c>
      <c r="H72" s="219" t="s">
        <v>23</v>
      </c>
      <c r="I72" s="139"/>
      <c r="J72" s="190"/>
    </row>
    <row r="73" spans="2:10" ht="38" customHeight="1" x14ac:dyDescent="0.3">
      <c r="E73" s="448" t="s">
        <v>98</v>
      </c>
      <c r="F73" s="448"/>
      <c r="G73" s="207">
        <f>+SUM(SUMIF($G$21:$G$36, "Scoop*", $J$21:$J$36))/SUMPRODUCT((LEFT(G21:G36, 5)="Scoop") / (COUNTIF(G21:G36, G21:G36 &amp; "") + (G21:G36="")))</f>
        <v>0.17708333333333334</v>
      </c>
      <c r="H73" s="220">
        <f>+G73*24/($G$71*24)</f>
        <v>0.85</v>
      </c>
      <c r="I73" s="190"/>
      <c r="J73" s="190"/>
    </row>
    <row r="74" spans="2:10" ht="38" customHeight="1" x14ac:dyDescent="0.3">
      <c r="E74" s="448" t="s">
        <v>99</v>
      </c>
      <c r="F74" s="448"/>
      <c r="G74" s="221">
        <f>+SUM(W21:W36)*D72/D71</f>
        <v>0</v>
      </c>
      <c r="H74" s="220">
        <f>+G74/G72</f>
        <v>0</v>
      </c>
      <c r="I74" s="190"/>
      <c r="J74" s="190"/>
    </row>
    <row r="75" spans="2:10" ht="38" customHeight="1" x14ac:dyDescent="0.3">
      <c r="G75" s="222" t="s">
        <v>96</v>
      </c>
      <c r="H75" s="139" t="s">
        <v>23</v>
      </c>
    </row>
    <row r="76" spans="2:10" ht="20" customHeight="1" x14ac:dyDescent="0.3">
      <c r="F76" s="208" t="s">
        <v>71</v>
      </c>
      <c r="G76" s="221">
        <f t="shared" ref="G76:G81" si="23" xml:space="preserve"> SUMIF($G$21:$G$36, +F76,$W$21:$W$36)*$D$72</f>
        <v>0</v>
      </c>
      <c r="H76" s="220">
        <f>+G76/$G$72</f>
        <v>0</v>
      </c>
    </row>
    <row r="77" spans="2:10" ht="20" customHeight="1" x14ac:dyDescent="0.3">
      <c r="F77" s="208" t="s">
        <v>72</v>
      </c>
      <c r="G77" s="221">
        <f t="shared" si="23"/>
        <v>0</v>
      </c>
      <c r="H77" s="220">
        <f t="shared" ref="H77:H82" si="24">+G77/$G$72</f>
        <v>0</v>
      </c>
    </row>
    <row r="78" spans="2:10" ht="20" customHeight="1" x14ac:dyDescent="0.3">
      <c r="F78" s="208" t="s">
        <v>73</v>
      </c>
      <c r="G78" s="221">
        <f t="shared" si="23"/>
        <v>0</v>
      </c>
      <c r="H78" s="220">
        <f t="shared" si="24"/>
        <v>0</v>
      </c>
    </row>
    <row r="79" spans="2:10" ht="20" customHeight="1" x14ac:dyDescent="0.3">
      <c r="F79" s="208" t="s">
        <v>74</v>
      </c>
      <c r="G79" s="221">
        <f t="shared" si="23"/>
        <v>0</v>
      </c>
      <c r="H79" s="220">
        <f t="shared" si="24"/>
        <v>0</v>
      </c>
    </row>
    <row r="80" spans="2:10" ht="20" customHeight="1" x14ac:dyDescent="0.3">
      <c r="F80" s="208" t="s">
        <v>75</v>
      </c>
      <c r="G80" s="221">
        <f t="shared" si="23"/>
        <v>0</v>
      </c>
      <c r="H80" s="220">
        <f t="shared" si="24"/>
        <v>0</v>
      </c>
    </row>
    <row r="81" spans="2:10" ht="20" customHeight="1" x14ac:dyDescent="0.3">
      <c r="F81" s="208" t="s">
        <v>76</v>
      </c>
      <c r="G81" s="221">
        <f t="shared" si="23"/>
        <v>0</v>
      </c>
      <c r="H81" s="220">
        <f t="shared" si="24"/>
        <v>0</v>
      </c>
    </row>
    <row r="82" spans="2:10" ht="20" customHeight="1" x14ac:dyDescent="0.3">
      <c r="F82" s="208" t="s">
        <v>146</v>
      </c>
      <c r="G82" s="223">
        <f>+SUM(G76:G81)</f>
        <v>0</v>
      </c>
      <c r="H82" s="220">
        <f t="shared" si="24"/>
        <v>0</v>
      </c>
    </row>
    <row r="83" spans="2:10" ht="13.5" thickBot="1" x14ac:dyDescent="0.35"/>
    <row r="84" spans="2:10" ht="30" customHeight="1" thickBot="1" x14ac:dyDescent="0.35">
      <c r="B84" s="191"/>
      <c r="C84" s="446" t="s">
        <v>149</v>
      </c>
      <c r="D84" s="446"/>
      <c r="E84" s="192"/>
      <c r="F84" s="192"/>
      <c r="G84" s="192"/>
      <c r="H84" s="192"/>
      <c r="I84" s="216"/>
      <c r="J84" s="193"/>
    </row>
    <row r="85" spans="2:10" ht="25.25" customHeight="1" x14ac:dyDescent="0.3">
      <c r="C85" s="208" t="s">
        <v>150</v>
      </c>
      <c r="D85" s="195">
        <f>SUMPRODUCT((LEFT(G21:G36, 8)="Roboshot") / (COUNTIF(G21:G36, G21:G36 &amp; "") + (G21:G36="")))</f>
        <v>0</v>
      </c>
      <c r="E85" s="447" t="s">
        <v>90</v>
      </c>
      <c r="F85" s="447"/>
      <c r="G85" s="218">
        <v>0.20833333333333334</v>
      </c>
    </row>
    <row r="86" spans="2:10" x14ac:dyDescent="0.3">
      <c r="C86" s="208"/>
      <c r="D86" s="195"/>
      <c r="E86" s="447" t="s">
        <v>97</v>
      </c>
      <c r="F86" s="447"/>
      <c r="G86" s="195">
        <v>12</v>
      </c>
      <c r="H86" s="219" t="s">
        <v>23</v>
      </c>
    </row>
    <row r="88" spans="2:10" x14ac:dyDescent="0.3">
      <c r="G88" s="222" t="s">
        <v>96</v>
      </c>
      <c r="H88" s="139" t="s">
        <v>23</v>
      </c>
    </row>
    <row r="89" spans="2:10" x14ac:dyDescent="0.3">
      <c r="F89" s="208" t="s">
        <v>77</v>
      </c>
      <c r="G89" s="221">
        <f xml:space="preserve"> SUMIF($G$21:$G$36, +F89,$X$21:$X$36)</f>
        <v>0</v>
      </c>
      <c r="H89" s="220">
        <f>+G89/$G$86</f>
        <v>0</v>
      </c>
    </row>
    <row r="90" spans="2:10" x14ac:dyDescent="0.3">
      <c r="F90" s="208" t="s">
        <v>78</v>
      </c>
      <c r="G90" s="221">
        <f xml:space="preserve"> SUMIF($G$21:$G$36, +F90,$X$21:$X$36)</f>
        <v>0</v>
      </c>
      <c r="H90" s="220">
        <f t="shared" ref="H90:H91" si="25">+G90/$G$86</f>
        <v>0</v>
      </c>
    </row>
    <row r="91" spans="2:10" x14ac:dyDescent="0.3">
      <c r="F91" s="208" t="s">
        <v>79</v>
      </c>
      <c r="G91" s="221">
        <f xml:space="preserve"> SUMIF($G$21:$G$36, +F91,$X$21:$X$36)</f>
        <v>0</v>
      </c>
      <c r="H91" s="220">
        <f t="shared" si="25"/>
        <v>0</v>
      </c>
    </row>
    <row r="92" spans="2:10" x14ac:dyDescent="0.3">
      <c r="F92" s="208" t="s">
        <v>146</v>
      </c>
      <c r="G92" s="223">
        <f>+SUM(G89:G91)</f>
        <v>0</v>
      </c>
      <c r="H92" s="220">
        <f>+G92/$G$86</f>
        <v>0</v>
      </c>
    </row>
  </sheetData>
  <mergeCells count="38">
    <mergeCell ref="C40:D40"/>
    <mergeCell ref="G40:H40"/>
    <mergeCell ref="I40:J40"/>
    <mergeCell ref="K40:L40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  <mergeCell ref="E59:F59"/>
    <mergeCell ref="E60:F60"/>
    <mergeCell ref="C56:D56"/>
    <mergeCell ref="E57:F57"/>
    <mergeCell ref="E41:F41"/>
    <mergeCell ref="E42:F42"/>
    <mergeCell ref="E43:F43"/>
    <mergeCell ref="E46:G46"/>
    <mergeCell ref="E47:G47"/>
    <mergeCell ref="E48:G48"/>
    <mergeCell ref="E50:G50"/>
    <mergeCell ref="E51:G51"/>
    <mergeCell ref="E52:G52"/>
    <mergeCell ref="E54:G54"/>
    <mergeCell ref="E58:F58"/>
    <mergeCell ref="E85:F85"/>
    <mergeCell ref="E86:F86"/>
    <mergeCell ref="C70:D70"/>
    <mergeCell ref="E71:F71"/>
    <mergeCell ref="E73:F73"/>
    <mergeCell ref="E74:F74"/>
    <mergeCell ref="C84:D84"/>
    <mergeCell ref="E72:F72"/>
  </mergeCells>
  <conditionalFormatting sqref="H42:H43 J42:J43">
    <cfRule type="cellIs" dxfId="944" priority="13" operator="greaterThan">
      <formula>0.9</formula>
    </cfRule>
    <cfRule type="cellIs" dxfId="943" priority="14" operator="between">
      <formula>0.81</formula>
      <formula>0.89</formula>
    </cfRule>
    <cfRule type="cellIs" dxfId="942" priority="15" operator="lessThan">
      <formula>0.8</formula>
    </cfRule>
  </conditionalFormatting>
  <conditionalFormatting sqref="H59:H60">
    <cfRule type="cellIs" dxfId="941" priority="16" operator="greaterThan">
      <formula>0.9</formula>
    </cfRule>
    <cfRule type="cellIs" dxfId="940" priority="17" operator="between">
      <formula>0.81</formula>
      <formula>0.89</formula>
    </cfRule>
    <cfRule type="cellIs" dxfId="939" priority="18" operator="lessThan">
      <formula>0.8</formula>
    </cfRule>
  </conditionalFormatting>
  <conditionalFormatting sqref="H62:H68">
    <cfRule type="cellIs" dxfId="938" priority="19" operator="greaterThan">
      <formula>0.9</formula>
    </cfRule>
    <cfRule type="cellIs" dxfId="937" priority="20" operator="between">
      <formula>0.81</formula>
      <formula>0.89</formula>
    </cfRule>
    <cfRule type="cellIs" dxfId="936" priority="21" operator="lessThan">
      <formula>0.8</formula>
    </cfRule>
  </conditionalFormatting>
  <conditionalFormatting sqref="H73:H74">
    <cfRule type="cellIs" dxfId="935" priority="7" operator="greaterThan">
      <formula>0.9</formula>
    </cfRule>
    <cfRule type="cellIs" dxfId="934" priority="8" operator="between">
      <formula>0.81</formula>
      <formula>0.89</formula>
    </cfRule>
    <cfRule type="cellIs" dxfId="933" priority="9" operator="lessThan">
      <formula>0.8</formula>
    </cfRule>
  </conditionalFormatting>
  <conditionalFormatting sqref="H76:H82">
    <cfRule type="cellIs" dxfId="932" priority="10" operator="greaterThan">
      <formula>0.9</formula>
    </cfRule>
    <cfRule type="cellIs" dxfId="931" priority="11" operator="between">
      <formula>0.81</formula>
      <formula>0.89</formula>
    </cfRule>
    <cfRule type="cellIs" dxfId="930" priority="12" operator="lessThan">
      <formula>0.8</formula>
    </cfRule>
  </conditionalFormatting>
  <conditionalFormatting sqref="H89:H92">
    <cfRule type="cellIs" dxfId="929" priority="4" operator="greaterThan">
      <formula>0.9</formula>
    </cfRule>
    <cfRule type="cellIs" dxfId="928" priority="5" operator="between">
      <formula>0.81</formula>
      <formula>0.89</formula>
    </cfRule>
    <cfRule type="cellIs" dxfId="927" priority="6" operator="lessThan">
      <formula>0.8</formula>
    </cfRule>
  </conditionalFormatting>
  <conditionalFormatting sqref="L42:L43">
    <cfRule type="cellIs" dxfId="926" priority="1" operator="greaterThan">
      <formula>0.9</formula>
    </cfRule>
    <cfRule type="cellIs" dxfId="925" priority="2" operator="between">
      <formula>0.81</formula>
      <formula>0.89</formula>
    </cfRule>
    <cfRule type="cellIs" dxfId="924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309870B-D053-4578-9EC5-15167B1D6874}">
          <x14:formula1>
            <xm:f>Datos!$F$3:$F$41</xm:f>
          </x14:formula1>
          <xm:sqref>G21:G29 G32:G38</xm:sqref>
        </x14:dataValidation>
        <x14:dataValidation type="list" allowBlank="1" showInputMessage="1" showErrorMessage="1" xr:uid="{94B0E4D4-8CA6-4854-A753-57ABF1EE7166}">
          <x14:formula1>
            <xm:f>Datos!$W$3:$W$12</xm:f>
          </x14:formula1>
          <xm:sqref>L21:L29 L32:L38</xm:sqref>
        </x14:dataValidation>
        <x14:dataValidation type="list" allowBlank="1" showInputMessage="1" showErrorMessage="1" xr:uid="{ECEF25B1-AEFD-4E38-BFA9-0F4D6A22C6C6}">
          <x14:formula1>
            <xm:f>Datos!$D$3:$D$27</xm:f>
          </x14:formula1>
          <xm:sqref>F21:F29 F32:F38</xm:sqref>
        </x14:dataValidation>
        <x14:dataValidation type="list" allowBlank="1" showInputMessage="1" showErrorMessage="1" xr:uid="{A2D77F71-38A9-4868-8490-96B4651111EE}">
          <x14:formula1>
            <xm:f>Datos!$B$3:$B$8</xm:f>
          </x14:formula1>
          <xm:sqref>E21:E29 E32:E38</xm:sqref>
        </x14:dataValidation>
        <x14:dataValidation type="list" allowBlank="1" showInputMessage="1" showErrorMessage="1" xr:uid="{338D30D4-6C3D-4F88-9740-BFA5CBA95BA3}">
          <x14:formula1>
            <xm:f>Datos!$H$3:$H$34</xm:f>
          </x14:formula1>
          <xm:sqref>D22:D25</xm:sqref>
        </x14:dataValidation>
        <x14:dataValidation type="list" allowBlank="1" showInputMessage="1" showErrorMessage="1" xr:uid="{7BCD1AD5-45E5-4870-BC0E-BECCB088A02F}">
          <x14:formula1>
            <xm:f>Datos!$H$3:$H$52</xm:f>
          </x14:formula1>
          <xm:sqref>D33:D35</xm:sqref>
        </x14:dataValidation>
        <x14:dataValidation type="list" allowBlank="1" showInputMessage="1" showErrorMessage="1" xr:uid="{D13E179B-A867-45B9-B5A6-9CBB9286E6F2}">
          <x14:formula1>
            <xm:f>Datos!$H$3:$H$26</xm:f>
          </x14:formula1>
          <xm:sqref>D26:D29 D36:D38 D32 D21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D30D-96A5-42AB-B66A-98D735E5E0D1}">
  <sheetPr>
    <pageSetUpPr fitToPage="1"/>
  </sheetPr>
  <dimension ref="B1:X90"/>
  <sheetViews>
    <sheetView showGridLines="0" topLeftCell="A19" zoomScaleNormal="100" zoomScaleSheetLayoutView="50" workbookViewId="0">
      <pane xSplit="3" ySplit="2" topLeftCell="D40" activePane="bottomRight" state="frozen"/>
      <selection activeCell="M54" sqref="M54"/>
      <selection pane="topRight" activeCell="M54" sqref="M54"/>
      <selection pane="bottomLeft" activeCell="M54" sqref="M54"/>
      <selection pane="bottomRight" activeCell="M54" sqref="M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7.8164062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+G40</f>
        <v>0.81944444444444453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+H41</f>
        <v>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+G66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+G80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+G90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">
        <v>305</v>
      </c>
      <c r="D21" s="173" t="s">
        <v>105</v>
      </c>
      <c r="E21" s="172" t="s">
        <v>6</v>
      </c>
      <c r="F21" s="172" t="s">
        <v>169</v>
      </c>
      <c r="G21" s="172" t="s">
        <v>204</v>
      </c>
      <c r="H21" s="174">
        <v>0.39583333333333331</v>
      </c>
      <c r="I21" s="174">
        <v>0.64583333333333337</v>
      </c>
      <c r="J21" s="175">
        <f t="shared" ref="J21" si="0">MOD(I21-H21, 1)</f>
        <v>0.25000000000000006</v>
      </c>
      <c r="K21" s="178">
        <v>64</v>
      </c>
      <c r="L21" s="177" t="s">
        <v>128</v>
      </c>
      <c r="M21" s="178"/>
      <c r="N21" s="179">
        <v>1</v>
      </c>
      <c r="O21" s="225" t="s">
        <v>322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56</v>
      </c>
      <c r="E22" s="172" t="s">
        <v>6</v>
      </c>
      <c r="F22" s="172" t="s">
        <v>169</v>
      </c>
      <c r="G22" s="172" t="s">
        <v>213</v>
      </c>
      <c r="H22" s="174">
        <v>0.66666666666666663</v>
      </c>
      <c r="I22" s="174">
        <v>0.74305555555555558</v>
      </c>
      <c r="J22" s="175">
        <f t="shared" ref="J22:J25" si="1">MOD(I22-H22, 1)</f>
        <v>7.6388888888888951E-2</v>
      </c>
      <c r="K22" s="178"/>
      <c r="L22" s="177"/>
      <c r="M22" s="178"/>
      <c r="N22" s="179">
        <v>1</v>
      </c>
      <c r="O22" s="225"/>
      <c r="P22" s="181"/>
      <c r="Q22" s="174"/>
      <c r="R22" s="172"/>
      <c r="S22" s="175">
        <f t="shared" ref="S22:S27" si="2">+MOD(R22-Q22,1)</f>
        <v>0</v>
      </c>
      <c r="U22" s="182">
        <f>+IFERROR(VLOOKUP(D22,Datos!$R$3:$T$19,3,FALSE), "0")*N22</f>
        <v>4.2783799201369072E-2</v>
      </c>
      <c r="V22" s="183" t="str">
        <f t="shared" ref="V22:V27" si="3">IF(OR(D22="Perforación de Fortificación", D22="Perforación de Avance", D22="Perforación Desquinche"), K22*M22, "")</f>
        <v/>
      </c>
      <c r="W22" s="183" t="str">
        <f t="shared" ref="W22:W27" si="4">IF(D22="Extracción de Marina Disparo",K22,"")</f>
        <v/>
      </c>
      <c r="X22" s="183" t="str">
        <f t="shared" ref="X22:X27" si="5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59</v>
      </c>
      <c r="E23" s="172" t="s">
        <v>6</v>
      </c>
      <c r="F23" s="172" t="s">
        <v>169</v>
      </c>
      <c r="G23" s="172" t="s">
        <v>204</v>
      </c>
      <c r="H23" s="174">
        <v>0.75</v>
      </c>
      <c r="I23" s="174">
        <v>0.78472222222222221</v>
      </c>
      <c r="J23" s="175">
        <f t="shared" si="1"/>
        <v>3.472222222222221E-2</v>
      </c>
      <c r="K23" s="178"/>
      <c r="L23" s="177"/>
      <c r="M23" s="178"/>
      <c r="N23" s="179">
        <v>1</v>
      </c>
      <c r="O23" s="186"/>
      <c r="P23" s="181"/>
      <c r="Q23" s="174"/>
      <c r="R23" s="172"/>
      <c r="S23" s="175">
        <f t="shared" si="2"/>
        <v>0</v>
      </c>
      <c r="U23" s="182">
        <f>+IFERROR(VLOOKUP(D23,Datos!$R$3:$T$19,3,FALSE), "0")*N23</f>
        <v>5.7045065601825425E-3</v>
      </c>
      <c r="V23" s="183" t="str">
        <f t="shared" si="3"/>
        <v/>
      </c>
      <c r="W23" s="183" t="str">
        <f t="shared" si="4"/>
        <v/>
      </c>
      <c r="X23" s="183" t="str">
        <f t="shared" si="5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173</v>
      </c>
      <c r="E24" s="172" t="s">
        <v>6</v>
      </c>
      <c r="F24" s="172" t="s">
        <v>169</v>
      </c>
      <c r="G24" s="172" t="s">
        <v>204</v>
      </c>
      <c r="H24" s="174">
        <v>0.79166666666666663</v>
      </c>
      <c r="I24" s="174">
        <v>0.82291666666666663</v>
      </c>
      <c r="J24" s="175">
        <f>MOD(I24-H24, 1)</f>
        <v>3.125E-2</v>
      </c>
      <c r="K24" s="178"/>
      <c r="L24" s="177"/>
      <c r="M24" s="178"/>
      <c r="N24" s="179">
        <v>1</v>
      </c>
      <c r="O24" s="225"/>
      <c r="P24" s="181"/>
      <c r="Q24" s="172"/>
      <c r="R24" s="172"/>
      <c r="S24" s="175">
        <f>+MOD(R24-Q24,1)</f>
        <v>0</v>
      </c>
      <c r="U24" s="182">
        <f>+IFERROR(VLOOKUP(D24,Datos!$R$3:$T$19,3,FALSE), "0")*N24</f>
        <v>3.4227039361095259E-2</v>
      </c>
      <c r="V24" s="183" t="str">
        <f>IF(OR(D24="Perforación de Fortificación", D24="Perforación de Avance", D24="Perforación Desquinche"), K24*M24, "")</f>
        <v/>
      </c>
      <c r="W24" s="183" t="str">
        <f>IF(D24="Extracción de Marina Disparo",K24,"")</f>
        <v/>
      </c>
      <c r="X24" s="183" t="str">
        <f>IF(OR(D24="Shotcrete", D24="Pre Shotcrete"), K24, "")</f>
        <v/>
      </c>
    </row>
    <row r="25" spans="2:24" ht="38" customHeight="1" x14ac:dyDescent="0.3">
      <c r="B25" s="172">
        <v>3500</v>
      </c>
      <c r="C25" s="173"/>
      <c r="D25" s="173"/>
      <c r="E25" s="172"/>
      <c r="F25" s="172"/>
      <c r="G25" s="172"/>
      <c r="H25" s="174"/>
      <c r="I25" s="174"/>
      <c r="J25" s="175">
        <f t="shared" si="1"/>
        <v>0</v>
      </c>
      <c r="K25" s="178"/>
      <c r="L25" s="177"/>
      <c r="M25" s="178"/>
      <c r="N25" s="179"/>
      <c r="O25" s="225"/>
      <c r="P25" s="181"/>
      <c r="Q25" s="174"/>
      <c r="R25" s="174"/>
      <c r="S25" s="175">
        <f t="shared" si="2"/>
        <v>0</v>
      </c>
      <c r="U25" s="182"/>
      <c r="V25" s="183" t="str">
        <f t="shared" si="3"/>
        <v/>
      </c>
      <c r="W25" s="183" t="str">
        <f t="shared" si="4"/>
        <v/>
      </c>
      <c r="X25" s="183" t="str">
        <f t="shared" si="5"/>
        <v/>
      </c>
    </row>
    <row r="26" spans="2:24" ht="37.75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>
        <f>MOD(I24-H21, 1)</f>
        <v>0.42708333333333331</v>
      </c>
      <c r="K26" s="178"/>
      <c r="L26" s="177"/>
      <c r="M26" s="178"/>
      <c r="N26" s="179">
        <v>1</v>
      </c>
      <c r="O26" s="225" t="s">
        <v>323</v>
      </c>
      <c r="P26" s="181"/>
      <c r="Q26" s="172"/>
      <c r="R26" s="172"/>
      <c r="S26" s="175">
        <f t="shared" si="2"/>
        <v>0</v>
      </c>
      <c r="U26" s="182">
        <f>SUM(Datos!T4:T10)-(SUM(U21:U24))</f>
        <v>8.1003993154592099E-2</v>
      </c>
      <c r="V26" s="183" t="str">
        <f t="shared" si="3"/>
        <v/>
      </c>
      <c r="W26" s="183" t="str">
        <f t="shared" si="4"/>
        <v/>
      </c>
      <c r="X26" s="183" t="str">
        <f t="shared" si="5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/>
      <c r="K27" s="178"/>
      <c r="L27" s="177"/>
      <c r="M27" s="178"/>
      <c r="N27" s="179"/>
      <c r="O27" s="225"/>
      <c r="P27" s="172"/>
      <c r="Q27" s="172"/>
      <c r="R27" s="172"/>
      <c r="S27" s="175">
        <f t="shared" si="2"/>
        <v>0</v>
      </c>
      <c r="U27" s="184"/>
      <c r="V27" s="183" t="str">
        <f t="shared" si="3"/>
        <v/>
      </c>
      <c r="W27" s="183" t="str">
        <f t="shared" si="4"/>
        <v/>
      </c>
      <c r="X27" s="183" t="str">
        <f t="shared" si="5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+Datos!R23</f>
        <v>Ciclo Minero 5,2 x 5,6 m
Galería Acceso Portal de Servicio</v>
      </c>
      <c r="D30" s="173" t="s">
        <v>173</v>
      </c>
      <c r="E30" s="172" t="s">
        <v>6</v>
      </c>
      <c r="F30" s="172" t="s">
        <v>170</v>
      </c>
      <c r="G30" s="172" t="s">
        <v>212</v>
      </c>
      <c r="H30" s="174">
        <v>0.39583333333333331</v>
      </c>
      <c r="I30" s="174">
        <v>0.48958333333333331</v>
      </c>
      <c r="J30" s="175">
        <f t="shared" ref="J30:J33" si="6">MOD(I30-H30, 1)</f>
        <v>9.375E-2</v>
      </c>
      <c r="K30" s="178"/>
      <c r="L30" s="177"/>
      <c r="M30" s="178"/>
      <c r="N30" s="179">
        <v>1</v>
      </c>
      <c r="O30" s="225"/>
      <c r="P30" s="181"/>
      <c r="Q30" s="174"/>
      <c r="R30" s="174"/>
      <c r="S30" s="175">
        <f t="shared" ref="S30" si="7">MOD(R30-Q30, 1)</f>
        <v>0</v>
      </c>
      <c r="U30" s="187">
        <f>+IFERROR(VLOOKUP(D30,Datos!$R$24:$T$40,3,FALSE), "0")*N30</f>
        <v>4.1055718475073312E-2</v>
      </c>
      <c r="V30" s="183" t="str">
        <f t="shared" ref="V30:V36" si="8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6" si="9">IF(OR(D30="Shotcrete", D30="Pre Shotcrete"), K30, "")</f>
        <v/>
      </c>
    </row>
    <row r="31" spans="2:24" ht="53.4" customHeight="1" x14ac:dyDescent="0.3">
      <c r="B31" s="172">
        <v>3700</v>
      </c>
      <c r="C31" s="173" t="str">
        <f>+C30</f>
        <v>Ciclo Minero 5,2 x 5,6 m
Galería Acceso Portal de Servicio</v>
      </c>
      <c r="D31" s="173" t="s">
        <v>57</v>
      </c>
      <c r="E31" s="172" t="s">
        <v>6</v>
      </c>
      <c r="F31" s="172" t="s">
        <v>170</v>
      </c>
      <c r="G31" s="172" t="s">
        <v>202</v>
      </c>
      <c r="H31" s="174">
        <v>0.48958333333333331</v>
      </c>
      <c r="I31" s="174">
        <v>0.71527777777777779</v>
      </c>
      <c r="J31" s="175">
        <f t="shared" si="6"/>
        <v>0.22569444444444448</v>
      </c>
      <c r="K31" s="178">
        <v>65</v>
      </c>
      <c r="L31" s="177" t="s">
        <v>138</v>
      </c>
      <c r="M31" s="178">
        <v>3</v>
      </c>
      <c r="N31" s="179">
        <v>1</v>
      </c>
      <c r="O31" s="225"/>
      <c r="P31" s="172"/>
      <c r="Q31" s="172"/>
      <c r="R31" s="172"/>
      <c r="S31" s="175">
        <f t="shared" ref="S31:S36" si="10">+MOD(R31-Q31,1)</f>
        <v>0</v>
      </c>
      <c r="U31" s="187">
        <f>+IFERROR(VLOOKUP(D31,Datos!$R$24:$T$40,3,FALSE), "0")*N31</f>
        <v>7.42913000977517E-2</v>
      </c>
      <c r="V31" s="183">
        <f t="shared" si="8"/>
        <v>195</v>
      </c>
      <c r="W31" s="183" t="str">
        <f t="shared" ref="W31:W36" si="11">IF(D31="Extracción de Marina Disparo",K31,"")</f>
        <v/>
      </c>
      <c r="X31" s="183" t="str">
        <f t="shared" si="9"/>
        <v/>
      </c>
    </row>
    <row r="32" spans="2:24" ht="38" customHeight="1" x14ac:dyDescent="0.3">
      <c r="B32" s="172">
        <v>3700</v>
      </c>
      <c r="C32" s="173" t="str">
        <f>+C31</f>
        <v>Ciclo Minero 5,2 x 5,6 m
Galería Acceso Portal de Servicio</v>
      </c>
      <c r="D32" s="173" t="s">
        <v>62</v>
      </c>
      <c r="E32" s="172" t="s">
        <v>6</v>
      </c>
      <c r="F32" s="172" t="s">
        <v>170</v>
      </c>
      <c r="G32" s="172" t="s">
        <v>208</v>
      </c>
      <c r="H32" s="174">
        <v>0.57291666666666663</v>
      </c>
      <c r="I32" s="174">
        <v>0.61458333333333337</v>
      </c>
      <c r="J32" s="175">
        <f t="shared" si="6"/>
        <v>4.1666666666666741E-2</v>
      </c>
      <c r="K32" s="178">
        <v>7</v>
      </c>
      <c r="L32" s="177" t="s">
        <v>127</v>
      </c>
      <c r="M32" s="178"/>
      <c r="N32" s="179">
        <v>1</v>
      </c>
      <c r="O32" s="188" t="s">
        <v>324</v>
      </c>
      <c r="P32" s="181"/>
      <c r="Q32" s="174"/>
      <c r="R32" s="174"/>
      <c r="S32" s="175">
        <f t="shared" si="10"/>
        <v>0</v>
      </c>
      <c r="U32" s="187">
        <f>+IFERROR(VLOOKUP(D32,Datos!$R$24:$T$40,3,FALSE), "0")*N32</f>
        <v>0</v>
      </c>
      <c r="V32" s="183" t="str">
        <f t="shared" si="8"/>
        <v/>
      </c>
      <c r="W32" s="183" t="str">
        <f t="shared" si="11"/>
        <v/>
      </c>
      <c r="X32" s="183"/>
    </row>
    <row r="33" spans="2:24" ht="38" customHeight="1" x14ac:dyDescent="0.3">
      <c r="B33" s="172">
        <v>3700</v>
      </c>
      <c r="C33" s="173" t="str">
        <f>+C32</f>
        <v>Ciclo Minero 5,2 x 5,6 m
Galería Acceso Portal de Servicio</v>
      </c>
      <c r="D33" s="173" t="s">
        <v>54</v>
      </c>
      <c r="E33" s="172" t="s">
        <v>6</v>
      </c>
      <c r="F33" s="172" t="s">
        <v>170</v>
      </c>
      <c r="G33" s="172" t="s">
        <v>212</v>
      </c>
      <c r="H33" s="174">
        <v>0.53125</v>
      </c>
      <c r="I33" s="174">
        <v>0.56944444444444442</v>
      </c>
      <c r="J33" s="175">
        <f t="shared" si="6"/>
        <v>3.819444444444442E-2</v>
      </c>
      <c r="K33" s="178">
        <v>3</v>
      </c>
      <c r="L33" s="177" t="s">
        <v>125</v>
      </c>
      <c r="M33" s="178"/>
      <c r="N33" s="179">
        <v>0</v>
      </c>
      <c r="O33" s="188" t="s">
        <v>325</v>
      </c>
      <c r="P33" s="181"/>
      <c r="Q33" s="174"/>
      <c r="R33" s="174"/>
      <c r="S33" s="175">
        <f t="shared" si="10"/>
        <v>0</v>
      </c>
      <c r="U33" s="187">
        <f>+IFERROR(VLOOKUP(D33,Datos!$R$24:$T$40,3,FALSE), "0")*N33</f>
        <v>0</v>
      </c>
      <c r="V33" s="183" t="str">
        <f t="shared" si="8"/>
        <v/>
      </c>
      <c r="W33" s="183" t="str">
        <f t="shared" si="11"/>
        <v/>
      </c>
      <c r="X33" s="183" t="str">
        <f t="shared" si="9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8"/>
      <c r="P34" s="172"/>
      <c r="Q34" s="172"/>
      <c r="R34" s="172"/>
      <c r="S34" s="175">
        <f t="shared" si="10"/>
        <v>0</v>
      </c>
      <c r="U34" s="187"/>
      <c r="V34" s="183" t="str">
        <f t="shared" si="8"/>
        <v/>
      </c>
      <c r="W34" s="183" t="str">
        <f t="shared" si="11"/>
        <v/>
      </c>
      <c r="X34" s="183" t="str">
        <f t="shared" si="9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2"/>
      <c r="J35" s="175"/>
      <c r="K35" s="178"/>
      <c r="L35" s="177"/>
      <c r="M35" s="178"/>
      <c r="N35" s="179"/>
      <c r="O35" s="225" t="s">
        <v>323</v>
      </c>
      <c r="P35" s="172"/>
      <c r="Q35" s="172"/>
      <c r="R35" s="172"/>
      <c r="S35" s="175">
        <f t="shared" si="10"/>
        <v>0</v>
      </c>
      <c r="U35" s="184"/>
      <c r="V35" s="183" t="str">
        <f t="shared" si="8"/>
        <v/>
      </c>
      <c r="W35" s="183" t="str">
        <f t="shared" si="11"/>
        <v/>
      </c>
      <c r="X35" s="183" t="str">
        <f t="shared" si="9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2"/>
      <c r="J36" s="175">
        <f>SUM(J30:J31)+J33</f>
        <v>0.3576388888888889</v>
      </c>
      <c r="K36" s="178"/>
      <c r="L36" s="177"/>
      <c r="M36" s="178"/>
      <c r="N36" s="179"/>
      <c r="O36" s="188"/>
      <c r="P36" s="172"/>
      <c r="Q36" s="172"/>
      <c r="R36" s="172"/>
      <c r="S36" s="175">
        <f t="shared" si="10"/>
        <v>0</v>
      </c>
      <c r="U36" s="189"/>
      <c r="V36" s="183" t="str">
        <f t="shared" si="8"/>
        <v/>
      </c>
      <c r="W36" s="183" t="str">
        <f t="shared" si="11"/>
        <v/>
      </c>
      <c r="X36" s="183" t="str">
        <f t="shared" si="9"/>
        <v/>
      </c>
    </row>
    <row r="37" spans="2:24" ht="15.65" customHeight="1" thickBot="1" x14ac:dyDescent="0.35">
      <c r="B37" s="190"/>
      <c r="C37" s="190"/>
      <c r="D37" s="190"/>
      <c r="E37" s="190"/>
      <c r="F37" s="190"/>
      <c r="G37" s="190"/>
      <c r="H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</row>
    <row r="38" spans="2:24" ht="30" customHeight="1" thickBot="1" x14ac:dyDescent="0.35">
      <c r="B38" s="191"/>
      <c r="C38" s="446" t="s">
        <v>64</v>
      </c>
      <c r="D38" s="446"/>
      <c r="E38" s="192"/>
      <c r="F38" s="192"/>
      <c r="G38" s="431">
        <v>3500</v>
      </c>
      <c r="H38" s="432"/>
      <c r="I38" s="431">
        <v>3700</v>
      </c>
      <c r="J38" s="432"/>
      <c r="K38" s="433" t="s">
        <v>146</v>
      </c>
      <c r="L38" s="434"/>
      <c r="M38" s="190"/>
      <c r="N38" s="190"/>
      <c r="O38" s="190"/>
      <c r="P38" s="190"/>
      <c r="Q38" s="190"/>
      <c r="R38" s="190"/>
      <c r="S38" s="190"/>
    </row>
    <row r="39" spans="2:24" ht="30" customHeight="1" x14ac:dyDescent="0.3">
      <c r="C39" s="194" t="s">
        <v>48</v>
      </c>
      <c r="D39" s="195">
        <f>SUMPRODUCT((LEFT(F21:F34, 1)="C") / (COUNTIF(F21:F34, F21:F34 &amp; "") + (F21:F34="")))</f>
        <v>0</v>
      </c>
      <c r="E39" s="447" t="s">
        <v>90</v>
      </c>
      <c r="F39" s="447"/>
      <c r="G39" s="196">
        <v>0.26041666666666669</v>
      </c>
      <c r="H39" s="197" t="s">
        <v>23</v>
      </c>
      <c r="I39" s="196">
        <v>0.26041666666666669</v>
      </c>
      <c r="J39" s="197" t="s">
        <v>23</v>
      </c>
      <c r="K39" s="198">
        <f>+G39</f>
        <v>0.26041666666666669</v>
      </c>
      <c r="L39" s="197" t="s">
        <v>23</v>
      </c>
      <c r="M39" s="190"/>
      <c r="N39" s="190"/>
      <c r="O39" s="190"/>
      <c r="P39" s="190"/>
      <c r="Q39" s="190"/>
      <c r="R39" s="190"/>
      <c r="S39" s="190"/>
    </row>
    <row r="40" spans="2:24" x14ac:dyDescent="0.3">
      <c r="C40" s="194" t="s">
        <v>49</v>
      </c>
      <c r="D40" s="195">
        <f>SUMPRODUCT((LEFT(F21:F34, 1)="O") / (COUNTIF(F21:F34, F21:F34 &amp; "") + (F21:F34="")))</f>
        <v>0</v>
      </c>
      <c r="E40" s="448" t="s">
        <v>198</v>
      </c>
      <c r="F40" s="448"/>
      <c r="G40" s="199">
        <f>SUM(J21:J26)</f>
        <v>0.81944444444444453</v>
      </c>
      <c r="H40" s="200">
        <f>+G40*24/($G$39*24)</f>
        <v>3.1466666666666669</v>
      </c>
      <c r="I40" s="199">
        <f>SUM(J30:J34)</f>
        <v>0.39930555555555564</v>
      </c>
      <c r="J40" s="200">
        <f>+I40*24/($I$39*24)</f>
        <v>1.5333333333333337</v>
      </c>
      <c r="K40" s="201">
        <f>AVERAGE(G40+I40)/2</f>
        <v>0.60937500000000011</v>
      </c>
      <c r="L40" s="200">
        <f>+K40*24/($K$39*24)</f>
        <v>2.3400000000000007</v>
      </c>
      <c r="M40" s="190"/>
      <c r="N40" s="190"/>
      <c r="O40" s="190"/>
      <c r="P40" s="190"/>
      <c r="Q40" s="190"/>
      <c r="R40" s="190"/>
      <c r="S40" s="190"/>
    </row>
    <row r="41" spans="2:24" ht="43.25" customHeight="1" thickBot="1" x14ac:dyDescent="0.35">
      <c r="E41" s="448" t="s">
        <v>94</v>
      </c>
      <c r="F41" s="448"/>
      <c r="G41" s="202"/>
      <c r="H41" s="203">
        <f>+AVERAGE(N21:N27)</f>
        <v>1</v>
      </c>
      <c r="I41" s="202"/>
      <c r="J41" s="203">
        <f>+AVERAGE(N30:N34)</f>
        <v>0.75</v>
      </c>
      <c r="K41" s="204"/>
      <c r="L41" s="203">
        <f>+AVERAGE(N21:N34)</f>
        <v>0.88888888888888884</v>
      </c>
    </row>
    <row r="42" spans="2:24" ht="43.25" customHeight="1" x14ac:dyDescent="0.3">
      <c r="E42" s="205"/>
      <c r="F42" s="205"/>
      <c r="G42" s="206"/>
      <c r="H42" s="206"/>
      <c r="I42" s="137"/>
      <c r="J42" s="137"/>
      <c r="K42" s="137"/>
      <c r="L42" s="137"/>
    </row>
    <row r="43" spans="2:24" ht="43.25" customHeight="1" x14ac:dyDescent="0.3">
      <c r="E43" s="194"/>
      <c r="F43" s="194"/>
      <c r="G43" s="207"/>
      <c r="H43" s="208" t="s">
        <v>24</v>
      </c>
      <c r="I43" s="208" t="s">
        <v>199</v>
      </c>
      <c r="J43" s="208" t="s">
        <v>201</v>
      </c>
      <c r="K43" s="208" t="s">
        <v>258</v>
      </c>
      <c r="L43" s="345" t="s">
        <v>484</v>
      </c>
      <c r="M43" s="345" t="s">
        <v>485</v>
      </c>
      <c r="N43" s="208"/>
    </row>
    <row r="44" spans="2:24" ht="14.5" x14ac:dyDescent="0.35">
      <c r="E44" s="445" t="s">
        <v>174</v>
      </c>
      <c r="F44" s="445"/>
      <c r="G44" s="445"/>
      <c r="H44" s="209">
        <f>SUMPRODUCT(N30:N36 * U30:U36 * (N30:N36&lt;&gt;"") * (U30:U36&lt;&gt;""))</f>
        <v>0.11534701857282501</v>
      </c>
      <c r="I44" s="210">
        <f>+H44*$J$44*$K$44</f>
        <v>2.6036129032258057</v>
      </c>
      <c r="J44" s="210">
        <v>6.6</v>
      </c>
      <c r="K44" s="246">
        <v>3.42</v>
      </c>
      <c r="L44" s="344">
        <v>56.080975609756102</v>
      </c>
      <c r="M44" s="344">
        <f>+L44*K44*H44</f>
        <v>22.123204806523137</v>
      </c>
    </row>
    <row r="45" spans="2:24" ht="14.4" customHeight="1" x14ac:dyDescent="0.35">
      <c r="E45" s="445" t="s">
        <v>224</v>
      </c>
      <c r="F45" s="445"/>
      <c r="G45" s="445"/>
      <c r="H45" s="209"/>
      <c r="I45" s="210">
        <f>+J45*K45</f>
        <v>0</v>
      </c>
      <c r="J45" s="210">
        <f>1892/1000000</f>
        <v>1.892E-3</v>
      </c>
      <c r="K45" s="246">
        <f>+((15*4.4)*2.72)*0</f>
        <v>0</v>
      </c>
      <c r="L45" s="346">
        <v>1.6919982016368774E-2</v>
      </c>
      <c r="M45" s="344">
        <f>+L45*K45</f>
        <v>0</v>
      </c>
    </row>
    <row r="46" spans="2:24" ht="14.4" customHeight="1" x14ac:dyDescent="0.35">
      <c r="E46" s="445" t="s">
        <v>298</v>
      </c>
      <c r="F46" s="445"/>
      <c r="G46" s="445"/>
      <c r="H46" s="209"/>
      <c r="I46" s="210">
        <f>SUM(I44:I45)</f>
        <v>2.6036129032258057</v>
      </c>
      <c r="J46" s="210"/>
      <c r="K46" s="246"/>
      <c r="L46" s="346"/>
      <c r="M46" s="344"/>
    </row>
    <row r="47" spans="2:24" ht="14.4" customHeight="1" x14ac:dyDescent="0.35">
      <c r="E47" s="227"/>
      <c r="F47" s="227"/>
      <c r="G47" s="227"/>
      <c r="H47" s="209"/>
      <c r="I47" s="210"/>
      <c r="J47" s="210"/>
      <c r="K47" s="246"/>
      <c r="L47" s="346"/>
      <c r="M47" s="344"/>
    </row>
    <row r="48" spans="2:24" ht="14.4" customHeight="1" x14ac:dyDescent="0.35">
      <c r="E48" s="445" t="s">
        <v>175</v>
      </c>
      <c r="F48" s="445"/>
      <c r="G48" s="445"/>
      <c r="H48" s="209">
        <f>+SUMPRODUCT(N21:N27 * U21:U27 * (N21:N27&lt;&gt;"") * (U21:U27&lt;&gt;""))</f>
        <v>0.16371933827723897</v>
      </c>
      <c r="I48" s="210">
        <f>+H48*$J$48*$K$48</f>
        <v>6.6070576155162559</v>
      </c>
      <c r="J48" s="210">
        <v>11.8</v>
      </c>
      <c r="K48" s="246">
        <v>3.42</v>
      </c>
      <c r="L48" s="344">
        <v>118.52055555555555</v>
      </c>
      <c r="M48" s="344">
        <f>+L48*K48*H48</f>
        <v>66.362045693097528</v>
      </c>
    </row>
    <row r="49" spans="2:13" ht="14.4" customHeight="1" x14ac:dyDescent="0.35">
      <c r="E49" s="445" t="s">
        <v>225</v>
      </c>
      <c r="F49" s="445"/>
      <c r="G49" s="445"/>
      <c r="H49" s="209"/>
      <c r="I49" s="210">
        <f>+J49*K49</f>
        <v>0</v>
      </c>
      <c r="J49" s="210">
        <f>+J45</f>
        <v>1.892E-3</v>
      </c>
      <c r="K49" s="246">
        <f>+((15*2.8)*2.72)*0</f>
        <v>0</v>
      </c>
      <c r="L49" s="346">
        <v>1.6919982016368774E-2</v>
      </c>
      <c r="M49" s="344">
        <f>+L49*K49</f>
        <v>0</v>
      </c>
    </row>
    <row r="50" spans="2:13" ht="14.4" customHeight="1" x14ac:dyDescent="0.3">
      <c r="E50" s="445" t="s">
        <v>297</v>
      </c>
      <c r="F50" s="445"/>
      <c r="G50" s="445"/>
      <c r="H50" s="209"/>
      <c r="I50" s="210">
        <f>SUM(I48:I49)</f>
        <v>6.6070576155162559</v>
      </c>
      <c r="J50" s="210"/>
      <c r="K50" s="246"/>
      <c r="L50" s="351"/>
      <c r="M50" s="349"/>
    </row>
    <row r="51" spans="2:13" ht="14.4" customHeight="1" x14ac:dyDescent="0.3">
      <c r="E51" s="227"/>
      <c r="F51" s="227"/>
      <c r="G51" s="227"/>
      <c r="H51" s="209"/>
      <c r="I51" s="210"/>
      <c r="J51" s="210"/>
      <c r="K51" s="246"/>
      <c r="L51" s="351"/>
      <c r="M51" s="349"/>
    </row>
    <row r="52" spans="2:13" ht="14.4" customHeight="1" x14ac:dyDescent="0.35">
      <c r="E52" s="445" t="s">
        <v>236</v>
      </c>
      <c r="F52" s="445"/>
      <c r="G52" s="445"/>
      <c r="H52" s="209"/>
      <c r="I52" s="210">
        <f>+J52*K52</f>
        <v>3.5703802679999992</v>
      </c>
      <c r="J52" s="210">
        <f>25508/1000000</f>
        <v>2.5507999999999999E-2</v>
      </c>
      <c r="K52" s="246">
        <f>14.43*9.7</f>
        <v>139.97099999999998</v>
      </c>
      <c r="L52" s="347" t="s">
        <v>486</v>
      </c>
      <c r="M52" s="344"/>
    </row>
    <row r="53" spans="2:13" ht="13.5" thickBot="1" x14ac:dyDescent="0.35">
      <c r="M53" s="352">
        <f>SUM(M44:M52)</f>
        <v>88.485250499620662</v>
      </c>
    </row>
    <row r="54" spans="2:13" ht="30" customHeight="1" thickBot="1" x14ac:dyDescent="0.35">
      <c r="B54" s="191"/>
      <c r="C54" s="446" t="s">
        <v>88</v>
      </c>
      <c r="D54" s="446"/>
      <c r="E54" s="192"/>
      <c r="F54" s="192"/>
      <c r="G54" s="192"/>
      <c r="H54" s="192"/>
      <c r="I54" s="216"/>
      <c r="J54" s="193"/>
    </row>
    <row r="55" spans="2:13" ht="38" customHeight="1" x14ac:dyDescent="0.3">
      <c r="C55" s="217" t="s">
        <v>89</v>
      </c>
      <c r="D55" s="195">
        <f>SUMPRODUCT((LEFT(G21:G34, 5)="Jumbo") / (COUNTIF(G21:G34, G21:G34 &amp; "") + (G21:G34="")))</f>
        <v>1</v>
      </c>
      <c r="E55" s="447" t="s">
        <v>90</v>
      </c>
      <c r="F55" s="447"/>
      <c r="G55" s="218">
        <v>0.20833333333333334</v>
      </c>
      <c r="I55" s="139"/>
      <c r="J55" s="190"/>
    </row>
    <row r="56" spans="2:13" ht="38" customHeight="1" x14ac:dyDescent="0.3">
      <c r="E56" s="447" t="s">
        <v>93</v>
      </c>
      <c r="F56" s="447"/>
      <c r="G56" s="195">
        <f>15000/(60)</f>
        <v>250</v>
      </c>
      <c r="H56" s="219" t="s">
        <v>143</v>
      </c>
      <c r="I56" s="139"/>
      <c r="J56" s="190"/>
    </row>
    <row r="57" spans="2:13" ht="38" customHeight="1" x14ac:dyDescent="0.3">
      <c r="E57" s="448" t="s">
        <v>91</v>
      </c>
      <c r="F57" s="448"/>
      <c r="G57" s="207">
        <f>+SUM(SUMIF($G$21:$G$34, "Jumbo*", $J$21:$J$34))/SUMPRODUCT((LEFT(G21:G34, 5)="Jumbo") / (COUNTIF(G21:G34, G21:G34 &amp; "") + (G21:G34="")))</f>
        <v>0.22569444444444448</v>
      </c>
      <c r="H57" s="220">
        <f>+G57*24/($G$55*24)</f>
        <v>1.0833333333333335</v>
      </c>
      <c r="I57" s="190"/>
      <c r="J57" s="190"/>
    </row>
    <row r="58" spans="2:13" ht="38" customHeight="1" x14ac:dyDescent="0.3">
      <c r="E58" s="448" t="s">
        <v>92</v>
      </c>
      <c r="F58" s="448"/>
      <c r="G58" s="221">
        <f>+SUM(V21:V34)/D55</f>
        <v>195</v>
      </c>
      <c r="H58" s="220">
        <f>+G58/G56</f>
        <v>0.78</v>
      </c>
      <c r="I58" s="190"/>
      <c r="J58" s="190"/>
    </row>
    <row r="59" spans="2:13" ht="38" customHeight="1" x14ac:dyDescent="0.3">
      <c r="G59" s="222" t="s">
        <v>87</v>
      </c>
      <c r="H59" s="139" t="s">
        <v>23</v>
      </c>
    </row>
    <row r="60" spans="2:13" ht="20" customHeight="1" x14ac:dyDescent="0.3">
      <c r="F60" s="208" t="s">
        <v>65</v>
      </c>
      <c r="G60" s="221">
        <f t="shared" ref="G60:G65" si="12" xml:space="preserve"> SUMIF($G$21:$G$34, +F60,$V$21:$V$34)</f>
        <v>0</v>
      </c>
      <c r="H60" s="220">
        <f t="shared" ref="H60:H65" si="13">+G60/$G$56</f>
        <v>0</v>
      </c>
    </row>
    <row r="61" spans="2:13" ht="20" customHeight="1" x14ac:dyDescent="0.3">
      <c r="F61" s="208" t="s">
        <v>66</v>
      </c>
      <c r="G61" s="221">
        <f t="shared" si="12"/>
        <v>0</v>
      </c>
      <c r="H61" s="220">
        <f t="shared" si="13"/>
        <v>0</v>
      </c>
    </row>
    <row r="62" spans="2:13" ht="20" customHeight="1" x14ac:dyDescent="0.3">
      <c r="F62" s="208" t="s">
        <v>67</v>
      </c>
      <c r="G62" s="221">
        <f t="shared" si="12"/>
        <v>0</v>
      </c>
      <c r="H62" s="220">
        <f t="shared" si="13"/>
        <v>0</v>
      </c>
    </row>
    <row r="63" spans="2:13" ht="20" customHeight="1" x14ac:dyDescent="0.3">
      <c r="F63" s="208" t="s">
        <v>68</v>
      </c>
      <c r="G63" s="221">
        <f t="shared" si="12"/>
        <v>0</v>
      </c>
      <c r="H63" s="220">
        <f t="shared" si="13"/>
        <v>0</v>
      </c>
    </row>
    <row r="64" spans="2:13" ht="20" customHeight="1" x14ac:dyDescent="0.3">
      <c r="F64" s="208" t="s">
        <v>69</v>
      </c>
      <c r="G64" s="221">
        <f t="shared" si="12"/>
        <v>0</v>
      </c>
      <c r="H64" s="220">
        <f t="shared" si="13"/>
        <v>0</v>
      </c>
    </row>
    <row r="65" spans="2:10" ht="20" customHeight="1" x14ac:dyDescent="0.3">
      <c r="F65" s="208" t="s">
        <v>70</v>
      </c>
      <c r="G65" s="221">
        <f t="shared" si="12"/>
        <v>0</v>
      </c>
      <c r="H65" s="220">
        <f t="shared" si="13"/>
        <v>0</v>
      </c>
    </row>
    <row r="66" spans="2:10" ht="20" customHeight="1" x14ac:dyDescent="0.3">
      <c r="F66" s="208" t="s">
        <v>146</v>
      </c>
      <c r="G66" s="223">
        <f>+SUM(G60:G65)</f>
        <v>0</v>
      </c>
      <c r="H66" s="220">
        <f>+G66/($G$56*$D$55)</f>
        <v>0</v>
      </c>
    </row>
    <row r="67" spans="2:10" ht="13.5" thickBot="1" x14ac:dyDescent="0.35"/>
    <row r="68" spans="2:10" ht="30" customHeight="1" thickBot="1" x14ac:dyDescent="0.35">
      <c r="B68" s="191"/>
      <c r="C68" s="446" t="s">
        <v>107</v>
      </c>
      <c r="D68" s="446"/>
      <c r="E68" s="192"/>
      <c r="F68" s="192"/>
      <c r="G68" s="192"/>
      <c r="H68" s="192"/>
      <c r="I68" s="216"/>
      <c r="J68" s="193"/>
    </row>
    <row r="69" spans="2:10" ht="38" customHeight="1" x14ac:dyDescent="0.3">
      <c r="C69" s="208" t="s">
        <v>95</v>
      </c>
      <c r="D69" s="195">
        <f>SUMPRODUCT((LEFT(G21:G34, 5)="Scoop") / (COUNTIF(G21:G34, G21:G34 &amp; "") + (G21:G34="")))</f>
        <v>1</v>
      </c>
      <c r="E69" s="447" t="s">
        <v>90</v>
      </c>
      <c r="F69" s="447"/>
      <c r="G69" s="218">
        <v>0.20833333333333334</v>
      </c>
      <c r="I69" s="139"/>
      <c r="J69" s="190"/>
    </row>
    <row r="70" spans="2:10" ht="38" customHeight="1" x14ac:dyDescent="0.3">
      <c r="C70" s="208" t="s">
        <v>145</v>
      </c>
      <c r="D70" s="195">
        <v>4.9000000000000004</v>
      </c>
      <c r="E70" s="447" t="s">
        <v>97</v>
      </c>
      <c r="F70" s="447"/>
      <c r="G70" s="195">
        <f>15000/(60)</f>
        <v>250</v>
      </c>
      <c r="H70" s="219" t="s">
        <v>23</v>
      </c>
      <c r="I70" s="139"/>
      <c r="J70" s="190"/>
    </row>
    <row r="71" spans="2:10" ht="38" customHeight="1" x14ac:dyDescent="0.3">
      <c r="E71" s="448" t="s">
        <v>98</v>
      </c>
      <c r="F71" s="448"/>
      <c r="G71" s="207">
        <f>+SUM(SUMIF($G$21:$G$34, "Scoop*", $J$21:$J$34))/SUMPRODUCT((LEFT(G21:G34, 5)="Scoop") / (COUNTIF(G21:G34, G21:G34 &amp; "") + (G21:G34="")))</f>
        <v>0.31597222222222227</v>
      </c>
      <c r="H71" s="220">
        <f>+G71*24/($G$69*24)</f>
        <v>1.5166666666666668</v>
      </c>
      <c r="I71" s="190"/>
      <c r="J71" s="190"/>
    </row>
    <row r="72" spans="2:10" ht="38" customHeight="1" x14ac:dyDescent="0.3">
      <c r="E72" s="448" t="s">
        <v>99</v>
      </c>
      <c r="F72" s="448"/>
      <c r="G72" s="221">
        <f>+SUM(W21:W34)*D70/D69</f>
        <v>0</v>
      </c>
      <c r="H72" s="220">
        <f>+G72/G70</f>
        <v>0</v>
      </c>
      <c r="I72" s="190"/>
      <c r="J72" s="190"/>
    </row>
    <row r="73" spans="2:10" ht="38" customHeight="1" x14ac:dyDescent="0.3">
      <c r="G73" s="222" t="s">
        <v>96</v>
      </c>
      <c r="H73" s="139" t="s">
        <v>23</v>
      </c>
    </row>
    <row r="74" spans="2:10" ht="20" customHeight="1" x14ac:dyDescent="0.3">
      <c r="F74" s="208" t="s">
        <v>71</v>
      </c>
      <c r="G74" s="221">
        <f t="shared" ref="G74:G79" si="14" xml:space="preserve"> SUMIF($G$21:$G$34, +F74,$W$21:$W$34)*$D$70</f>
        <v>0</v>
      </c>
      <c r="H74" s="220">
        <f>+G74/$G$70</f>
        <v>0</v>
      </c>
    </row>
    <row r="75" spans="2:10" ht="20" customHeight="1" x14ac:dyDescent="0.3">
      <c r="F75" s="208" t="s">
        <v>72</v>
      </c>
      <c r="G75" s="221">
        <f t="shared" si="14"/>
        <v>0</v>
      </c>
      <c r="H75" s="220">
        <f t="shared" ref="H75:H80" si="15">+G75/$G$70</f>
        <v>0</v>
      </c>
    </row>
    <row r="76" spans="2:10" ht="20" customHeight="1" x14ac:dyDescent="0.3">
      <c r="F76" s="208" t="s">
        <v>73</v>
      </c>
      <c r="G76" s="221">
        <f t="shared" si="14"/>
        <v>0</v>
      </c>
      <c r="H76" s="220">
        <f t="shared" si="15"/>
        <v>0</v>
      </c>
    </row>
    <row r="77" spans="2:10" ht="20" customHeight="1" x14ac:dyDescent="0.3">
      <c r="F77" s="208" t="s">
        <v>74</v>
      </c>
      <c r="G77" s="221">
        <f t="shared" si="14"/>
        <v>0</v>
      </c>
      <c r="H77" s="220">
        <f t="shared" si="15"/>
        <v>0</v>
      </c>
    </row>
    <row r="78" spans="2:10" ht="20" customHeight="1" x14ac:dyDescent="0.3">
      <c r="F78" s="208" t="s">
        <v>75</v>
      </c>
      <c r="G78" s="221">
        <f t="shared" si="14"/>
        <v>0</v>
      </c>
      <c r="H78" s="220">
        <f t="shared" si="15"/>
        <v>0</v>
      </c>
    </row>
    <row r="79" spans="2:10" ht="20" customHeight="1" x14ac:dyDescent="0.3">
      <c r="F79" s="208" t="s">
        <v>76</v>
      </c>
      <c r="G79" s="221">
        <f t="shared" si="14"/>
        <v>0</v>
      </c>
      <c r="H79" s="220">
        <f t="shared" si="15"/>
        <v>0</v>
      </c>
    </row>
    <row r="80" spans="2:10" ht="20" customHeight="1" x14ac:dyDescent="0.3">
      <c r="F80" s="208" t="s">
        <v>146</v>
      </c>
      <c r="G80" s="223">
        <f>+SUM(G74:G79)</f>
        <v>0</v>
      </c>
      <c r="H80" s="220">
        <f t="shared" si="15"/>
        <v>0</v>
      </c>
    </row>
    <row r="81" spans="2:10" ht="13.5" thickBot="1" x14ac:dyDescent="0.35"/>
    <row r="82" spans="2:10" ht="30" customHeight="1" thickBot="1" x14ac:dyDescent="0.35">
      <c r="B82" s="191"/>
      <c r="C82" s="446" t="s">
        <v>149</v>
      </c>
      <c r="D82" s="446"/>
      <c r="E82" s="192"/>
      <c r="F82" s="192"/>
      <c r="G82" s="192"/>
      <c r="H82" s="192"/>
      <c r="I82" s="216"/>
      <c r="J82" s="193"/>
    </row>
    <row r="83" spans="2:10" ht="25.25" customHeight="1" x14ac:dyDescent="0.3">
      <c r="C83" s="208" t="s">
        <v>150</v>
      </c>
      <c r="D83" s="195">
        <f>SUMPRODUCT((LEFT(G21:G34, 8)="Roboshot") / (COUNTIF(G21:G34, G21:G34 &amp; "") + (G21:G34="")))</f>
        <v>1</v>
      </c>
      <c r="E83" s="447" t="s">
        <v>90</v>
      </c>
      <c r="F83" s="447"/>
      <c r="G83" s="218">
        <v>0.20833333333333334</v>
      </c>
    </row>
    <row r="84" spans="2:10" x14ac:dyDescent="0.3">
      <c r="C84" s="208"/>
      <c r="D84" s="195"/>
      <c r="E84" s="447" t="s">
        <v>97</v>
      </c>
      <c r="F84" s="447"/>
      <c r="G84" s="195">
        <v>12</v>
      </c>
      <c r="H84" s="219" t="s">
        <v>23</v>
      </c>
    </row>
    <row r="86" spans="2:10" x14ac:dyDescent="0.3">
      <c r="G86" s="222" t="s">
        <v>96</v>
      </c>
      <c r="H86" s="139" t="s">
        <v>23</v>
      </c>
    </row>
    <row r="87" spans="2:10" x14ac:dyDescent="0.3">
      <c r="F87" s="208" t="s">
        <v>77</v>
      </c>
      <c r="G87" s="221">
        <f xml:space="preserve"> SUMIF($G$21:$G$34, +F87,$X$21:$X$34)</f>
        <v>0</v>
      </c>
      <c r="H87" s="220">
        <f>+G87/$G$84</f>
        <v>0</v>
      </c>
    </row>
    <row r="88" spans="2:10" x14ac:dyDescent="0.3">
      <c r="F88" s="208" t="s">
        <v>78</v>
      </c>
      <c r="G88" s="221">
        <f xml:space="preserve"> SUMIF($G$21:$G$34, +F88,$X$21:$X$34)</f>
        <v>0</v>
      </c>
      <c r="H88" s="220">
        <f t="shared" ref="H88:H89" si="16">+G88/$G$84</f>
        <v>0</v>
      </c>
    </row>
    <row r="89" spans="2:10" x14ac:dyDescent="0.3">
      <c r="F89" s="208" t="s">
        <v>79</v>
      </c>
      <c r="G89" s="221">
        <f xml:space="preserve"> SUMIF($G$21:$G$34, +F89,$X$21:$X$34)</f>
        <v>0</v>
      </c>
      <c r="H89" s="220">
        <f t="shared" si="16"/>
        <v>0</v>
      </c>
    </row>
    <row r="90" spans="2:10" x14ac:dyDescent="0.3">
      <c r="F90" s="208" t="s">
        <v>146</v>
      </c>
      <c r="G90" s="223">
        <f>+SUM(G87:G89)</f>
        <v>0</v>
      </c>
      <c r="H90" s="220">
        <f>+G90/$G$84</f>
        <v>0</v>
      </c>
    </row>
  </sheetData>
  <mergeCells count="38">
    <mergeCell ref="E83:F83"/>
    <mergeCell ref="E84:F84"/>
    <mergeCell ref="C68:D68"/>
    <mergeCell ref="E69:F69"/>
    <mergeCell ref="E71:F71"/>
    <mergeCell ref="E72:F72"/>
    <mergeCell ref="C82:D82"/>
    <mergeCell ref="E70:F70"/>
    <mergeCell ref="E57:F57"/>
    <mergeCell ref="E58:F58"/>
    <mergeCell ref="C54:D54"/>
    <mergeCell ref="E55:F55"/>
    <mergeCell ref="E39:F39"/>
    <mergeCell ref="E40:F40"/>
    <mergeCell ref="E41:F41"/>
    <mergeCell ref="E44:G44"/>
    <mergeCell ref="E45:G45"/>
    <mergeCell ref="E46:G46"/>
    <mergeCell ref="E48:G48"/>
    <mergeCell ref="E49:G49"/>
    <mergeCell ref="E50:G50"/>
    <mergeCell ref="E52:G52"/>
    <mergeCell ref="E56:F56"/>
    <mergeCell ref="C38:D38"/>
    <mergeCell ref="G38:H38"/>
    <mergeCell ref="I38:J38"/>
    <mergeCell ref="K38:L38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40:H41 J40:J41">
    <cfRule type="cellIs" dxfId="923" priority="13" operator="greaterThan">
      <formula>0.9</formula>
    </cfRule>
    <cfRule type="cellIs" dxfId="922" priority="14" operator="between">
      <formula>0.81</formula>
      <formula>0.89</formula>
    </cfRule>
    <cfRule type="cellIs" dxfId="921" priority="15" operator="lessThan">
      <formula>0.8</formula>
    </cfRule>
  </conditionalFormatting>
  <conditionalFormatting sqref="H57:H58">
    <cfRule type="cellIs" dxfId="920" priority="16" operator="greaterThan">
      <formula>0.9</formula>
    </cfRule>
    <cfRule type="cellIs" dxfId="919" priority="17" operator="between">
      <formula>0.81</formula>
      <formula>0.89</formula>
    </cfRule>
    <cfRule type="cellIs" dxfId="918" priority="18" operator="lessThan">
      <formula>0.8</formula>
    </cfRule>
  </conditionalFormatting>
  <conditionalFormatting sqref="H60:H66">
    <cfRule type="cellIs" dxfId="917" priority="19" operator="greaterThan">
      <formula>0.9</formula>
    </cfRule>
    <cfRule type="cellIs" dxfId="916" priority="20" operator="between">
      <formula>0.81</formula>
      <formula>0.89</formula>
    </cfRule>
    <cfRule type="cellIs" dxfId="915" priority="21" operator="lessThan">
      <formula>0.8</formula>
    </cfRule>
  </conditionalFormatting>
  <conditionalFormatting sqref="H71:H72">
    <cfRule type="cellIs" dxfId="914" priority="7" operator="greaterThan">
      <formula>0.9</formula>
    </cfRule>
    <cfRule type="cellIs" dxfId="913" priority="8" operator="between">
      <formula>0.81</formula>
      <formula>0.89</formula>
    </cfRule>
    <cfRule type="cellIs" dxfId="912" priority="9" operator="lessThan">
      <formula>0.8</formula>
    </cfRule>
  </conditionalFormatting>
  <conditionalFormatting sqref="H74:H80">
    <cfRule type="cellIs" dxfId="911" priority="10" operator="greaterThan">
      <formula>0.9</formula>
    </cfRule>
    <cfRule type="cellIs" dxfId="910" priority="11" operator="between">
      <formula>0.81</formula>
      <formula>0.89</formula>
    </cfRule>
    <cfRule type="cellIs" dxfId="909" priority="12" operator="lessThan">
      <formula>0.8</formula>
    </cfRule>
  </conditionalFormatting>
  <conditionalFormatting sqref="H87:H90">
    <cfRule type="cellIs" dxfId="908" priority="4" operator="greaterThan">
      <formula>0.9</formula>
    </cfRule>
    <cfRule type="cellIs" dxfId="907" priority="5" operator="between">
      <formula>0.81</formula>
      <formula>0.89</formula>
    </cfRule>
    <cfRule type="cellIs" dxfId="906" priority="6" operator="lessThan">
      <formula>0.8</formula>
    </cfRule>
  </conditionalFormatting>
  <conditionalFormatting sqref="L40:L41">
    <cfRule type="cellIs" dxfId="905" priority="1" operator="greaterThan">
      <formula>0.9</formula>
    </cfRule>
    <cfRule type="cellIs" dxfId="904" priority="2" operator="between">
      <formula>0.81</formula>
      <formula>0.89</formula>
    </cfRule>
    <cfRule type="cellIs" dxfId="903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42A4BAF-D42E-499F-B39B-7F4512918176}">
          <x14:formula1>
            <xm:f>Datos!$B$3:$B$8</xm:f>
          </x14:formula1>
          <xm:sqref>E30:E36 E21:E27</xm:sqref>
        </x14:dataValidation>
        <x14:dataValidation type="list" allowBlank="1" showInputMessage="1" showErrorMessage="1" xr:uid="{05D8D3BF-8C4C-429B-87C5-E6506C21DB96}">
          <x14:formula1>
            <xm:f>Datos!$D$3:$D$27</xm:f>
          </x14:formula1>
          <xm:sqref>F30:F36 F21:F27</xm:sqref>
        </x14:dataValidation>
        <x14:dataValidation type="list" allowBlank="1" showInputMessage="1" showErrorMessage="1" xr:uid="{02EA55F4-640E-4064-A651-5B05C881BF29}">
          <x14:formula1>
            <xm:f>Datos!$W$3:$W$12</xm:f>
          </x14:formula1>
          <xm:sqref>L30:L36 L21:L27</xm:sqref>
        </x14:dataValidation>
        <x14:dataValidation type="list" allowBlank="1" showInputMessage="1" showErrorMessage="1" xr:uid="{303393C5-692D-4777-A215-BC74A9F623BC}">
          <x14:formula1>
            <xm:f>Datos!$F$3:$F$41</xm:f>
          </x14:formula1>
          <xm:sqref>G21:G27 G30:G36</xm:sqref>
        </x14:dataValidation>
        <x14:dataValidation type="list" allowBlank="1" showInputMessage="1" showErrorMessage="1" xr:uid="{39310218-FBC0-4C0F-A993-5E772573D92E}">
          <x14:formula1>
            <xm:f>Datos!$H$3:$H$26</xm:f>
          </x14:formula1>
          <xm:sqref>D34:D36 D26:D27</xm:sqref>
        </x14:dataValidation>
        <x14:dataValidation type="list" allowBlank="1" showInputMessage="1" showErrorMessage="1" xr:uid="{5EF9E8A4-1096-47AA-827E-09CC3280C6AA}">
          <x14:formula1>
            <xm:f>Datos!$H$3:$H$34</xm:f>
          </x14:formula1>
          <xm:sqref>D21:D25 D30:D33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870D9-610D-49A8-984E-3ACC4678EE9E}">
  <sheetPr>
    <pageSetUpPr fitToPage="1"/>
  </sheetPr>
  <dimension ref="B1:X90"/>
  <sheetViews>
    <sheetView showGridLines="0" topLeftCell="A19" zoomScale="85" zoomScaleNormal="85" zoomScaleSheetLayoutView="50" workbookViewId="0">
      <pane xSplit="3" ySplit="2" topLeftCell="D38" activePane="bottomRight" state="frozen"/>
      <selection activeCell="M54" sqref="M54"/>
      <selection pane="topRight" activeCell="M54" sqref="M54"/>
      <selection pane="bottomLeft" activeCell="M54" sqref="M54"/>
      <selection pane="bottomRight" activeCell="M54" sqref="M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19.54296875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+G40</f>
        <v>0.85416666666666663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+H41</f>
        <v>0.967741935483871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+G66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+G80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+G90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60</v>
      </c>
      <c r="E21" s="172" t="s">
        <v>6</v>
      </c>
      <c r="F21" s="172" t="s">
        <v>167</v>
      </c>
      <c r="G21" s="172"/>
      <c r="H21" s="174"/>
      <c r="I21" s="174"/>
      <c r="J21" s="175">
        <f t="shared" ref="J21:J25" si="0">MOD(I21-H21, 1)</f>
        <v>0</v>
      </c>
      <c r="K21" s="178"/>
      <c r="L21" s="177"/>
      <c r="M21" s="178"/>
      <c r="N21" s="179">
        <v>1</v>
      </c>
      <c r="O21" s="225"/>
      <c r="P21" s="181"/>
      <c r="Q21" s="174"/>
      <c r="R21" s="174"/>
      <c r="S21" s="175">
        <f>+MOD(R21-Q21,1)</f>
        <v>0</v>
      </c>
      <c r="U21" s="182">
        <f>+IFERROR(VLOOKUP(D21,Datos!$R$3:$T$19,3,FALSE), "0")*N21</f>
        <v>1.1409013120365085E-2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57</v>
      </c>
      <c r="E22" s="172" t="s">
        <v>6</v>
      </c>
      <c r="F22" s="172" t="s">
        <v>167</v>
      </c>
      <c r="G22" s="172" t="s">
        <v>203</v>
      </c>
      <c r="H22" s="174">
        <v>0.96875</v>
      </c>
      <c r="I22" s="174">
        <v>0.125</v>
      </c>
      <c r="J22" s="175">
        <f t="shared" si="0"/>
        <v>0.15625</v>
      </c>
      <c r="K22" s="178">
        <v>62</v>
      </c>
      <c r="L22" s="177" t="s">
        <v>138</v>
      </c>
      <c r="M22" s="178">
        <v>4</v>
      </c>
      <c r="N22" s="179">
        <v>1</v>
      </c>
      <c r="O22" s="225"/>
      <c r="P22" s="181"/>
      <c r="Q22" s="174"/>
      <c r="R22" s="172"/>
      <c r="S22" s="175">
        <f t="shared" ref="S22:S27" si="1">+MOD(R22-Q22,1)</f>
        <v>0</v>
      </c>
      <c r="U22" s="182">
        <f>+IFERROR(VLOOKUP(D22,Datos!$R$3:$T$19,3,FALSE), "0")*N22</f>
        <v>8.6138049058756397E-2</v>
      </c>
      <c r="V22" s="183">
        <f t="shared" ref="V22:V27" si="2">IF(OR(D22="Perforación de Fortificación", D22="Perforación de Avance", D22="Perforación Desquinche"), K22*M22, "")</f>
        <v>248</v>
      </c>
      <c r="W22" s="183" t="str">
        <f t="shared" ref="W22:W27" si="3">IF(D22="Extracción de Marina Disparo",K22,"")</f>
        <v/>
      </c>
      <c r="X22" s="183" t="str">
        <f t="shared" ref="X22:X27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54</v>
      </c>
      <c r="E23" s="172" t="s">
        <v>6</v>
      </c>
      <c r="F23" s="172" t="s">
        <v>167</v>
      </c>
      <c r="G23" s="172" t="s">
        <v>212</v>
      </c>
      <c r="H23" s="174">
        <v>0.15972222222222221</v>
      </c>
      <c r="I23" s="174">
        <v>0.3263888888888889</v>
      </c>
      <c r="J23" s="175">
        <f t="shared" si="0"/>
        <v>0.16666666666666669</v>
      </c>
      <c r="K23" s="178">
        <v>54</v>
      </c>
      <c r="L23" s="177" t="s">
        <v>125</v>
      </c>
      <c r="M23" s="178">
        <v>4</v>
      </c>
      <c r="N23" s="179">
        <f>(54/62)</f>
        <v>0.87096774193548387</v>
      </c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0.15501536536444435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105</v>
      </c>
      <c r="E24" s="172" t="s">
        <v>6</v>
      </c>
      <c r="F24" s="172" t="s">
        <v>167</v>
      </c>
      <c r="G24" s="172" t="s">
        <v>204</v>
      </c>
      <c r="H24" s="174">
        <v>0.1388888888888889</v>
      </c>
      <c r="I24" s="174">
        <v>0.3125</v>
      </c>
      <c r="J24" s="175">
        <f>MOD(I24-H24, 1)</f>
        <v>0.1736111111111111</v>
      </c>
      <c r="K24" s="178">
        <f>25+48</f>
        <v>73</v>
      </c>
      <c r="L24" s="177" t="s">
        <v>128</v>
      </c>
      <c r="M24" s="178"/>
      <c r="N24" s="179">
        <v>1</v>
      </c>
      <c r="O24" s="225"/>
      <c r="P24" s="181"/>
      <c r="Q24" s="172"/>
      <c r="R24" s="172"/>
      <c r="S24" s="175">
        <f>+MOD(R24-Q24,1)</f>
        <v>0</v>
      </c>
      <c r="U24" s="182">
        <f>+IFERROR(VLOOKUP(D24,Datos!$R$3:$T$19,3,FALSE), "0")*N24</f>
        <v>0</v>
      </c>
      <c r="V24" s="183" t="str">
        <f>IF(OR(D24="Perforación de Fortificación", D24="Perforación de Avance", D24="Perforación Desquinche"), K24*M24, "")</f>
        <v/>
      </c>
      <c r="W24" s="183" t="str">
        <f>IF(D24="Extracción de Marina Disparo",K24,"")</f>
        <v/>
      </c>
      <c r="X24" s="183" t="str">
        <f>IF(OR(D24="Shotcrete", D24="Pre Shotcrete"), K24, "")</f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/>
      <c r="E25" s="172"/>
      <c r="F25" s="172"/>
      <c r="G25" s="172"/>
      <c r="H25" s="174"/>
      <c r="I25" s="174"/>
      <c r="J25" s="175">
        <f t="shared" si="0"/>
        <v>0</v>
      </c>
      <c r="K25" s="178"/>
      <c r="L25" s="177"/>
      <c r="M25" s="178"/>
      <c r="N25" s="179"/>
      <c r="O25" s="225"/>
      <c r="P25" s="181"/>
      <c r="Q25" s="174"/>
      <c r="R25" s="174"/>
      <c r="S25" s="175">
        <f t="shared" si="1"/>
        <v>0</v>
      </c>
      <c r="U25" s="182"/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7.75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>
        <f>MOD(I23-H22, 1)</f>
        <v>0.35763888888888884</v>
      </c>
      <c r="K26" s="178"/>
      <c r="L26" s="177"/>
      <c r="M26" s="178"/>
      <c r="N26" s="179"/>
      <c r="O26" s="225" t="s">
        <v>323</v>
      </c>
      <c r="P26" s="181"/>
      <c r="Q26" s="172"/>
      <c r="R26" s="172"/>
      <c r="S26" s="175">
        <f t="shared" si="1"/>
        <v>0</v>
      </c>
      <c r="U26" s="182">
        <f>SUM(U21:U25)+Datos!T12</f>
        <v>0.2582669341037484</v>
      </c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/>
      <c r="K27" s="178"/>
      <c r="L27" s="177"/>
      <c r="M27" s="178"/>
      <c r="N27" s="179"/>
      <c r="O27" s="225"/>
      <c r="P27" s="172"/>
      <c r="Q27" s="172"/>
      <c r="R27" s="172"/>
      <c r="S27" s="175">
        <f t="shared" si="1"/>
        <v>0</v>
      </c>
      <c r="U27" s="184"/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+Datos!R23</f>
        <v>Ciclo Minero 5,2 x 5,6 m
Galería Acceso Portal de Servicio</v>
      </c>
      <c r="D30" s="173" t="s">
        <v>60</v>
      </c>
      <c r="E30" s="172" t="s">
        <v>6</v>
      </c>
      <c r="F30" s="172" t="s">
        <v>168</v>
      </c>
      <c r="G30" s="172" t="s">
        <v>212</v>
      </c>
      <c r="H30" s="174">
        <v>0.9375</v>
      </c>
      <c r="I30" s="174">
        <v>0.95833333333333337</v>
      </c>
      <c r="J30" s="175">
        <f t="shared" ref="J30:J33" si="5">MOD(I30-H30, 1)</f>
        <v>2.083333333333337E-2</v>
      </c>
      <c r="K30" s="178"/>
      <c r="L30" s="177"/>
      <c r="M30" s="178"/>
      <c r="N30" s="179">
        <v>1</v>
      </c>
      <c r="O30" s="225"/>
      <c r="P30" s="181"/>
      <c r="Q30" s="174"/>
      <c r="R30" s="174"/>
      <c r="S30" s="175">
        <f t="shared" ref="S30" si="6">MOD(R30-Q30, 1)</f>
        <v>0</v>
      </c>
      <c r="U30" s="187">
        <f>+IFERROR(VLOOKUP(D30,Datos!$R$24:$T$40,3,FALSE), "0")*N30</f>
        <v>1.9550342130987289E-2</v>
      </c>
      <c r="V30" s="183" t="str">
        <f t="shared" ref="V30:V36" si="7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6" si="8">IF(OR(D30="Shotcrete", D30="Pre Shotcrete"), K30, "")</f>
        <v/>
      </c>
    </row>
    <row r="31" spans="2:24" ht="53.4" customHeight="1" x14ac:dyDescent="0.3">
      <c r="B31" s="172">
        <v>3700</v>
      </c>
      <c r="C31" s="173" t="str">
        <f>+C30</f>
        <v>Ciclo Minero 5,2 x 5,6 m
Galería Acceso Portal de Servicio</v>
      </c>
      <c r="D31" s="173" t="s">
        <v>54</v>
      </c>
      <c r="E31" s="172" t="s">
        <v>6</v>
      </c>
      <c r="F31" s="172" t="s">
        <v>168</v>
      </c>
      <c r="G31" s="172" t="s">
        <v>212</v>
      </c>
      <c r="H31" s="174">
        <v>0.9375</v>
      </c>
      <c r="I31" s="174">
        <v>9.7222222222222224E-2</v>
      </c>
      <c r="J31" s="175">
        <f t="shared" si="5"/>
        <v>0.15972222222222221</v>
      </c>
      <c r="K31" s="178">
        <v>75</v>
      </c>
      <c r="L31" s="177" t="s">
        <v>125</v>
      </c>
      <c r="M31" s="178">
        <v>3</v>
      </c>
      <c r="N31" s="179">
        <v>1</v>
      </c>
      <c r="O31" s="225"/>
      <c r="P31" s="172"/>
      <c r="Q31" s="172"/>
      <c r="R31" s="172"/>
      <c r="S31" s="175">
        <f t="shared" ref="S31:S36" si="9">+MOD(R31-Q31,1)</f>
        <v>0</v>
      </c>
      <c r="U31" s="187">
        <f>+IFERROR(VLOOKUP(D31,Datos!$R$24:$T$40,3,FALSE), "0")*N31</f>
        <v>0.14662756598240467</v>
      </c>
      <c r="V31" s="183" t="str">
        <f t="shared" si="7"/>
        <v/>
      </c>
      <c r="W31" s="183" t="str">
        <f t="shared" ref="W31:W36" si="10">IF(D31="Extracción de Marina Disparo",K31,"")</f>
        <v/>
      </c>
      <c r="X31" s="183" t="str">
        <f t="shared" si="8"/>
        <v/>
      </c>
    </row>
    <row r="32" spans="2:24" ht="38" customHeight="1" x14ac:dyDescent="0.3">
      <c r="B32" s="172">
        <v>3700</v>
      </c>
      <c r="C32" s="173" t="str">
        <f>+C31</f>
        <v>Ciclo Minero 5,2 x 5,6 m
Galería Acceso Portal de Servicio</v>
      </c>
      <c r="D32" s="173" t="s">
        <v>52</v>
      </c>
      <c r="E32" s="172" t="s">
        <v>6</v>
      </c>
      <c r="F32" s="172" t="s">
        <v>168</v>
      </c>
      <c r="G32" s="172" t="s">
        <v>212</v>
      </c>
      <c r="H32" s="174">
        <v>0.16666666666666666</v>
      </c>
      <c r="I32" s="174">
        <v>0.25</v>
      </c>
      <c r="J32" s="175">
        <f t="shared" si="5"/>
        <v>8.3333333333333343E-2</v>
      </c>
      <c r="K32" s="178">
        <v>40</v>
      </c>
      <c r="L32" s="177" t="s">
        <v>126</v>
      </c>
      <c r="M32" s="178"/>
      <c r="N32" s="179">
        <v>0.3</v>
      </c>
      <c r="O32" s="188"/>
      <c r="P32" s="181"/>
      <c r="Q32" s="174"/>
      <c r="R32" s="174"/>
      <c r="S32" s="175">
        <f t="shared" si="9"/>
        <v>0</v>
      </c>
      <c r="U32" s="187">
        <f>+IFERROR(VLOOKUP(D32,Datos!$R$24:$T$40,3,FALSE), "0")*N32</f>
        <v>2.1994134897360702E-2</v>
      </c>
      <c r="V32" s="183" t="str">
        <f t="shared" si="7"/>
        <v/>
      </c>
      <c r="W32" s="183" t="str">
        <f t="shared" si="10"/>
        <v/>
      </c>
      <c r="X32" s="183"/>
    </row>
    <row r="33" spans="2:24" ht="38" customHeight="1" x14ac:dyDescent="0.3">
      <c r="B33" s="172">
        <v>3700</v>
      </c>
      <c r="C33" s="173" t="str">
        <f>+C32</f>
        <v>Ciclo Minero 5,2 x 5,6 m
Galería Acceso Portal de Servicio</v>
      </c>
      <c r="D33" s="173"/>
      <c r="E33" s="172"/>
      <c r="F33" s="172"/>
      <c r="G33" s="172"/>
      <c r="H33" s="174"/>
      <c r="I33" s="174"/>
      <c r="J33" s="175">
        <f t="shared" si="5"/>
        <v>0</v>
      </c>
      <c r="K33" s="178"/>
      <c r="L33" s="177"/>
      <c r="M33" s="178"/>
      <c r="N33" s="179"/>
      <c r="O33" s="188"/>
      <c r="P33" s="181"/>
      <c r="Q33" s="174"/>
      <c r="R33" s="174"/>
      <c r="S33" s="175">
        <f t="shared" si="9"/>
        <v>0</v>
      </c>
      <c r="U33" s="187">
        <f>+IFERROR(VLOOKUP(D33,Datos!$R$24:$T$40,3,FALSE), "0")*N33</f>
        <v>0</v>
      </c>
      <c r="V33" s="183" t="str">
        <f t="shared" si="7"/>
        <v/>
      </c>
      <c r="W33" s="183" t="str">
        <f t="shared" si="10"/>
        <v/>
      </c>
      <c r="X33" s="183" t="str">
        <f t="shared" si="8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8"/>
      <c r="P34" s="172"/>
      <c r="Q34" s="172"/>
      <c r="R34" s="172"/>
      <c r="S34" s="175">
        <f t="shared" si="9"/>
        <v>0</v>
      </c>
      <c r="U34" s="187"/>
      <c r="V34" s="183" t="str">
        <f t="shared" si="7"/>
        <v/>
      </c>
      <c r="W34" s="183" t="str">
        <f t="shared" si="10"/>
        <v/>
      </c>
      <c r="X34" s="183" t="str">
        <f t="shared" si="8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2"/>
      <c r="J35" s="175"/>
      <c r="K35" s="178"/>
      <c r="L35" s="177"/>
      <c r="M35" s="178"/>
      <c r="N35" s="179"/>
      <c r="O35" s="225" t="s">
        <v>323</v>
      </c>
      <c r="P35" s="172"/>
      <c r="Q35" s="172"/>
      <c r="R35" s="172"/>
      <c r="S35" s="175">
        <f t="shared" si="9"/>
        <v>0</v>
      </c>
      <c r="U35" s="184"/>
      <c r="V35" s="183" t="str">
        <f t="shared" si="7"/>
        <v/>
      </c>
      <c r="W35" s="183" t="str">
        <f t="shared" si="10"/>
        <v/>
      </c>
      <c r="X35" s="183" t="str">
        <f t="shared" si="8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2"/>
      <c r="J36" s="175">
        <f>SUM(J30:J31)+J33</f>
        <v>0.18055555555555558</v>
      </c>
      <c r="K36" s="178"/>
      <c r="L36" s="177"/>
      <c r="M36" s="178"/>
      <c r="N36" s="179"/>
      <c r="O36" s="225" t="s">
        <v>326</v>
      </c>
      <c r="P36" s="172"/>
      <c r="Q36" s="172"/>
      <c r="R36" s="172"/>
      <c r="S36" s="175">
        <f t="shared" si="9"/>
        <v>0</v>
      </c>
      <c r="U36" s="189"/>
      <c r="V36" s="183" t="str">
        <f t="shared" si="7"/>
        <v/>
      </c>
      <c r="W36" s="183" t="str">
        <f t="shared" si="10"/>
        <v/>
      </c>
      <c r="X36" s="183" t="str">
        <f t="shared" si="8"/>
        <v/>
      </c>
    </row>
    <row r="37" spans="2:24" ht="15.65" customHeight="1" thickBot="1" x14ac:dyDescent="0.35">
      <c r="B37" s="190"/>
      <c r="C37" s="190"/>
      <c r="D37" s="190"/>
      <c r="E37" s="190"/>
      <c r="F37" s="190"/>
      <c r="G37" s="190"/>
      <c r="H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</row>
    <row r="38" spans="2:24" ht="30" customHeight="1" thickBot="1" x14ac:dyDescent="0.35">
      <c r="B38" s="191"/>
      <c r="C38" s="446" t="s">
        <v>64</v>
      </c>
      <c r="D38" s="446"/>
      <c r="E38" s="192"/>
      <c r="F38" s="192"/>
      <c r="G38" s="431">
        <v>3500</v>
      </c>
      <c r="H38" s="432"/>
      <c r="I38" s="431">
        <v>3700</v>
      </c>
      <c r="J38" s="432"/>
      <c r="K38" s="433" t="s">
        <v>146</v>
      </c>
      <c r="L38" s="434"/>
      <c r="M38" s="190"/>
      <c r="N38" s="190"/>
      <c r="O38" s="190"/>
      <c r="P38" s="190"/>
      <c r="Q38" s="190"/>
      <c r="R38" s="190"/>
      <c r="S38" s="190"/>
    </row>
    <row r="39" spans="2:24" ht="30" customHeight="1" x14ac:dyDescent="0.3">
      <c r="C39" s="194" t="s">
        <v>48</v>
      </c>
      <c r="D39" s="195">
        <f>SUMPRODUCT((LEFT(F21:F34, 1)="C") / (COUNTIF(F21:F34, F21:F34 &amp; "") + (F21:F34="")))</f>
        <v>0</v>
      </c>
      <c r="E39" s="447" t="s">
        <v>90</v>
      </c>
      <c r="F39" s="447"/>
      <c r="G39" s="196">
        <v>0.26041666666666669</v>
      </c>
      <c r="H39" s="197" t="s">
        <v>23</v>
      </c>
      <c r="I39" s="196">
        <v>0.26041666666666669</v>
      </c>
      <c r="J39" s="197" t="s">
        <v>23</v>
      </c>
      <c r="K39" s="198">
        <f>+G39</f>
        <v>0.26041666666666669</v>
      </c>
      <c r="L39" s="197" t="s">
        <v>23</v>
      </c>
      <c r="M39" s="190"/>
      <c r="N39" s="190"/>
      <c r="O39" s="190"/>
      <c r="P39" s="190"/>
      <c r="Q39" s="190"/>
      <c r="R39" s="190"/>
      <c r="S39" s="190"/>
    </row>
    <row r="40" spans="2:24" x14ac:dyDescent="0.3">
      <c r="C40" s="194" t="s">
        <v>49</v>
      </c>
      <c r="D40" s="195">
        <f>SUMPRODUCT((LEFT(F21:F34, 1)="O") / (COUNTIF(F21:F34, F21:F34 &amp; "") + (F21:F34="")))</f>
        <v>0</v>
      </c>
      <c r="E40" s="448" t="s">
        <v>198</v>
      </c>
      <c r="F40" s="448"/>
      <c r="G40" s="199">
        <f>SUM(J21:J26)</f>
        <v>0.85416666666666663</v>
      </c>
      <c r="H40" s="200">
        <f>+G40*24/($G$39*24)</f>
        <v>3.28</v>
      </c>
      <c r="I40" s="199">
        <f>SUM(J30:J34)</f>
        <v>0.26388888888888895</v>
      </c>
      <c r="J40" s="200">
        <f>+I40*24/($I$39*24)</f>
        <v>1.0133333333333336</v>
      </c>
      <c r="K40" s="201">
        <f>AVERAGE(G40+I40)/2</f>
        <v>0.55902777777777779</v>
      </c>
      <c r="L40" s="200">
        <f>+K40*24/($K$39*24)</f>
        <v>2.1466666666666669</v>
      </c>
      <c r="M40" s="190"/>
      <c r="N40" s="190"/>
      <c r="O40" s="190"/>
      <c r="P40" s="190"/>
      <c r="Q40" s="190"/>
      <c r="R40" s="190"/>
      <c r="S40" s="190"/>
    </row>
    <row r="41" spans="2:24" ht="43.25" customHeight="1" thickBot="1" x14ac:dyDescent="0.35">
      <c r="E41" s="448" t="s">
        <v>94</v>
      </c>
      <c r="F41" s="448"/>
      <c r="G41" s="202"/>
      <c r="H41" s="203">
        <f>+AVERAGE(N21:N27)</f>
        <v>0.967741935483871</v>
      </c>
      <c r="I41" s="202"/>
      <c r="J41" s="203">
        <f>+AVERAGE(N30:N34)</f>
        <v>0.76666666666666661</v>
      </c>
      <c r="K41" s="204"/>
      <c r="L41" s="203">
        <f>+AVERAGE(N21:N34)</f>
        <v>0.88156682027649769</v>
      </c>
    </row>
    <row r="42" spans="2:24" ht="43.25" customHeight="1" x14ac:dyDescent="0.3">
      <c r="E42" s="205"/>
      <c r="F42" s="205"/>
      <c r="G42" s="206"/>
      <c r="H42" s="206"/>
      <c r="I42" s="137"/>
      <c r="J42" s="137"/>
      <c r="K42" s="137"/>
      <c r="L42" s="137"/>
    </row>
    <row r="43" spans="2:24" ht="43.25" customHeight="1" x14ac:dyDescent="0.3">
      <c r="E43" s="194"/>
      <c r="F43" s="194"/>
      <c r="G43" s="207"/>
      <c r="H43" s="208" t="s">
        <v>24</v>
      </c>
      <c r="I43" s="208" t="s">
        <v>199</v>
      </c>
      <c r="J43" s="208" t="s">
        <v>201</v>
      </c>
      <c r="K43" s="208" t="s">
        <v>258</v>
      </c>
      <c r="L43" s="345" t="s">
        <v>484</v>
      </c>
      <c r="M43" s="345" t="s">
        <v>485</v>
      </c>
      <c r="N43" s="208"/>
    </row>
    <row r="44" spans="2:24" ht="14.5" x14ac:dyDescent="0.35">
      <c r="E44" s="445" t="s">
        <v>174</v>
      </c>
      <c r="F44" s="445"/>
      <c r="G44" s="445"/>
      <c r="H44" s="209">
        <f>SUMPRODUCT(N30:N36 * U30:U36 * (N30:N36&lt;&gt;"") * (U30:U36&lt;&gt;""))</f>
        <v>0.17277614858260015</v>
      </c>
      <c r="I44" s="210">
        <f>+H44*$J$44*$K$44</f>
        <v>3.8999032258064501</v>
      </c>
      <c r="J44" s="211">
        <v>6.6</v>
      </c>
      <c r="K44" s="246">
        <v>3.42</v>
      </c>
      <c r="L44" s="344">
        <v>56.080975609756102</v>
      </c>
      <c r="M44" s="344">
        <f>+L44*K44*H44</f>
        <v>33.137936013160711</v>
      </c>
    </row>
    <row r="45" spans="2:24" ht="14.4" customHeight="1" x14ac:dyDescent="0.35">
      <c r="E45" s="445" t="s">
        <v>224</v>
      </c>
      <c r="F45" s="445"/>
      <c r="G45" s="445"/>
      <c r="H45" s="209"/>
      <c r="I45" s="210">
        <f>+J45*K45</f>
        <v>0</v>
      </c>
      <c r="J45" s="214">
        <f>1892/1000000</f>
        <v>1.892E-3</v>
      </c>
      <c r="K45" s="246">
        <f>+((15*4.4)*2.72)*0</f>
        <v>0</v>
      </c>
      <c r="L45" s="346">
        <v>1.6919982016368774E-2</v>
      </c>
      <c r="M45" s="344">
        <f>+L45*K45</f>
        <v>0</v>
      </c>
    </row>
    <row r="46" spans="2:24" ht="14.4" customHeight="1" x14ac:dyDescent="0.35">
      <c r="E46" s="445" t="s">
        <v>298</v>
      </c>
      <c r="F46" s="445"/>
      <c r="G46" s="445"/>
      <c r="H46" s="209"/>
      <c r="I46" s="210">
        <f>SUM(I44:I45)</f>
        <v>3.8999032258064501</v>
      </c>
      <c r="J46" s="214"/>
      <c r="K46" s="246"/>
      <c r="L46" s="346"/>
      <c r="M46" s="344"/>
    </row>
    <row r="47" spans="2:24" ht="14.4" customHeight="1" x14ac:dyDescent="0.35">
      <c r="E47" s="227"/>
      <c r="F47" s="227"/>
      <c r="G47" s="227"/>
      <c r="H47" s="209"/>
      <c r="I47" s="210"/>
      <c r="J47" s="214"/>
      <c r="K47" s="246"/>
      <c r="L47" s="346"/>
      <c r="M47" s="344"/>
    </row>
    <row r="48" spans="2:24" ht="14.4" customHeight="1" x14ac:dyDescent="0.35">
      <c r="E48" s="445" t="s">
        <v>175</v>
      </c>
      <c r="F48" s="445"/>
      <c r="G48" s="445"/>
      <c r="H48" s="209">
        <f>+SUMPRODUCT(N21:N27 * U21:U27 * (N21:N27&lt;&gt;"") * (U21:U27&lt;&gt;""))</f>
        <v>0.23256044491589559</v>
      </c>
      <c r="I48" s="210">
        <f>+H48*$J$48*$K$48</f>
        <v>9.3852093150258824</v>
      </c>
      <c r="J48" s="211">
        <v>11.8</v>
      </c>
      <c r="K48" s="246">
        <v>3.42</v>
      </c>
      <c r="L48" s="344">
        <v>118.52055555555555</v>
      </c>
      <c r="M48" s="344">
        <f>+L48*K48*H48</f>
        <v>94.266120510342589</v>
      </c>
    </row>
    <row r="49" spans="2:13" ht="14.4" customHeight="1" x14ac:dyDescent="0.35">
      <c r="E49" s="445" t="s">
        <v>225</v>
      </c>
      <c r="F49" s="445"/>
      <c r="G49" s="445"/>
      <c r="H49" s="209"/>
      <c r="I49" s="210">
        <f>+J49*K49</f>
        <v>0</v>
      </c>
      <c r="J49" s="214">
        <f>+J45</f>
        <v>1.892E-3</v>
      </c>
      <c r="K49" s="246">
        <f>+((15*2.8)*2.72)*0</f>
        <v>0</v>
      </c>
      <c r="L49" s="346">
        <v>1.6919982016368774E-2</v>
      </c>
      <c r="M49" s="344">
        <f>+L49*K49</f>
        <v>0</v>
      </c>
    </row>
    <row r="50" spans="2:13" ht="14.4" customHeight="1" x14ac:dyDescent="0.3">
      <c r="E50" s="445" t="s">
        <v>297</v>
      </c>
      <c r="F50" s="445"/>
      <c r="G50" s="445"/>
      <c r="H50" s="209"/>
      <c r="I50" s="210">
        <f>SUM(I48:I49)</f>
        <v>9.3852093150258824</v>
      </c>
      <c r="J50" s="214"/>
      <c r="K50" s="246"/>
      <c r="L50" s="351"/>
      <c r="M50" s="349"/>
    </row>
    <row r="51" spans="2:13" ht="14.4" customHeight="1" x14ac:dyDescent="0.3">
      <c r="E51" s="227"/>
      <c r="F51" s="227"/>
      <c r="G51" s="227"/>
      <c r="H51" s="209"/>
      <c r="I51" s="210"/>
      <c r="J51" s="214"/>
      <c r="K51" s="246"/>
      <c r="L51" s="351"/>
      <c r="M51" s="349"/>
    </row>
    <row r="52" spans="2:13" ht="14.4" customHeight="1" x14ac:dyDescent="0.35">
      <c r="E52" s="445" t="s">
        <v>236</v>
      </c>
      <c r="F52" s="445"/>
      <c r="G52" s="445"/>
      <c r="H52" s="209"/>
      <c r="I52" s="210">
        <f>+J52*K52</f>
        <v>0</v>
      </c>
      <c r="J52" s="214">
        <f>25508/1000000</f>
        <v>2.5507999999999999E-2</v>
      </c>
      <c r="K52" s="246">
        <f>14.43*0</f>
        <v>0</v>
      </c>
      <c r="L52" s="347" t="s">
        <v>486</v>
      </c>
      <c r="M52" s="344"/>
    </row>
    <row r="53" spans="2:13" ht="13.5" thickBot="1" x14ac:dyDescent="0.35">
      <c r="M53" s="352">
        <f>SUM(M44:M52)</f>
        <v>127.4040565235033</v>
      </c>
    </row>
    <row r="54" spans="2:13" ht="30" customHeight="1" thickBot="1" x14ac:dyDescent="0.35">
      <c r="B54" s="191"/>
      <c r="C54" s="446" t="s">
        <v>88</v>
      </c>
      <c r="D54" s="446"/>
      <c r="E54" s="192"/>
      <c r="F54" s="192"/>
      <c r="G54" s="192"/>
      <c r="H54" s="192"/>
      <c r="I54" s="216"/>
      <c r="J54" s="193"/>
    </row>
    <row r="55" spans="2:13" ht="38" customHeight="1" x14ac:dyDescent="0.3">
      <c r="C55" s="217" t="s">
        <v>89</v>
      </c>
      <c r="D55" s="195">
        <f>SUMPRODUCT((LEFT(G21:G34, 5)="Jumbo") / (COUNTIF(G21:G34, G21:G34 &amp; "") + (G21:G34="")))</f>
        <v>1</v>
      </c>
      <c r="E55" s="447" t="s">
        <v>90</v>
      </c>
      <c r="F55" s="447"/>
      <c r="G55" s="218">
        <v>0.20833333333333334</v>
      </c>
      <c r="I55" s="139"/>
      <c r="J55" s="190"/>
    </row>
    <row r="56" spans="2:13" ht="38" customHeight="1" x14ac:dyDescent="0.3">
      <c r="E56" s="447" t="s">
        <v>93</v>
      </c>
      <c r="F56" s="447"/>
      <c r="G56" s="195">
        <f>15000/(60)</f>
        <v>250</v>
      </c>
      <c r="H56" s="219" t="s">
        <v>143</v>
      </c>
      <c r="I56" s="139"/>
      <c r="J56" s="190"/>
    </row>
    <row r="57" spans="2:13" ht="38" customHeight="1" x14ac:dyDescent="0.3">
      <c r="E57" s="448" t="s">
        <v>91</v>
      </c>
      <c r="F57" s="448"/>
      <c r="G57" s="207">
        <f>+SUM(SUMIF($G$21:$G$34, "Jumbo*", $J$21:$J$34))/SUMPRODUCT((LEFT(G21:G34, 5)="Jumbo") / (COUNTIF(G21:G34, G21:G34 &amp; "") + (G21:G34="")))</f>
        <v>0.15625</v>
      </c>
      <c r="H57" s="220">
        <f>+G57*24/($G$55*24)</f>
        <v>0.75</v>
      </c>
      <c r="I57" s="190"/>
      <c r="J57" s="190"/>
    </row>
    <row r="58" spans="2:13" ht="38" customHeight="1" x14ac:dyDescent="0.3">
      <c r="E58" s="448" t="s">
        <v>92</v>
      </c>
      <c r="F58" s="448"/>
      <c r="G58" s="221">
        <f>+SUM(V21:V34)/D55</f>
        <v>248</v>
      </c>
      <c r="H58" s="220">
        <f>+G58/G56</f>
        <v>0.99199999999999999</v>
      </c>
      <c r="I58" s="190"/>
      <c r="J58" s="190"/>
    </row>
    <row r="59" spans="2:13" ht="38" customHeight="1" x14ac:dyDescent="0.3">
      <c r="G59" s="222" t="s">
        <v>87</v>
      </c>
      <c r="H59" s="139" t="s">
        <v>23</v>
      </c>
    </row>
    <row r="60" spans="2:13" ht="20" customHeight="1" x14ac:dyDescent="0.3">
      <c r="F60" s="208" t="s">
        <v>65</v>
      </c>
      <c r="G60" s="221">
        <f t="shared" ref="G60:G65" si="11" xml:space="preserve"> SUMIF($G$21:$G$34, +F60,$V$21:$V$34)</f>
        <v>0</v>
      </c>
      <c r="H60" s="220">
        <f t="shared" ref="H60:H65" si="12">+G60/$G$56</f>
        <v>0</v>
      </c>
    </row>
    <row r="61" spans="2:13" ht="20" customHeight="1" x14ac:dyDescent="0.3">
      <c r="F61" s="208" t="s">
        <v>66</v>
      </c>
      <c r="G61" s="221">
        <f t="shared" si="11"/>
        <v>0</v>
      </c>
      <c r="H61" s="220">
        <f t="shared" si="12"/>
        <v>0</v>
      </c>
    </row>
    <row r="62" spans="2:13" ht="20" customHeight="1" x14ac:dyDescent="0.3">
      <c r="F62" s="208" t="s">
        <v>67</v>
      </c>
      <c r="G62" s="221">
        <f t="shared" si="11"/>
        <v>0</v>
      </c>
      <c r="H62" s="220">
        <f t="shared" si="12"/>
        <v>0</v>
      </c>
    </row>
    <row r="63" spans="2:13" ht="20" customHeight="1" x14ac:dyDescent="0.3">
      <c r="F63" s="208" t="s">
        <v>68</v>
      </c>
      <c r="G63" s="221">
        <f t="shared" si="11"/>
        <v>0</v>
      </c>
      <c r="H63" s="220">
        <f t="shared" si="12"/>
        <v>0</v>
      </c>
    </row>
    <row r="64" spans="2:13" ht="20" customHeight="1" x14ac:dyDescent="0.3">
      <c r="F64" s="208" t="s">
        <v>69</v>
      </c>
      <c r="G64" s="221">
        <f t="shared" si="11"/>
        <v>0</v>
      </c>
      <c r="H64" s="220">
        <f t="shared" si="12"/>
        <v>0</v>
      </c>
    </row>
    <row r="65" spans="2:10" ht="20" customHeight="1" x14ac:dyDescent="0.3">
      <c r="F65" s="208" t="s">
        <v>70</v>
      </c>
      <c r="G65" s="221">
        <f t="shared" si="11"/>
        <v>0</v>
      </c>
      <c r="H65" s="220">
        <f t="shared" si="12"/>
        <v>0</v>
      </c>
    </row>
    <row r="66" spans="2:10" ht="20" customHeight="1" x14ac:dyDescent="0.3">
      <c r="F66" s="208" t="s">
        <v>146</v>
      </c>
      <c r="G66" s="223">
        <f>+SUM(G60:G65)</f>
        <v>0</v>
      </c>
      <c r="H66" s="220">
        <f>+G66/($G$56*$D$55)</f>
        <v>0</v>
      </c>
    </row>
    <row r="67" spans="2:10" ht="13.5" thickBot="1" x14ac:dyDescent="0.35"/>
    <row r="68" spans="2:10" ht="30" customHeight="1" thickBot="1" x14ac:dyDescent="0.35">
      <c r="B68" s="191"/>
      <c r="C68" s="446" t="s">
        <v>107</v>
      </c>
      <c r="D68" s="446"/>
      <c r="E68" s="192"/>
      <c r="F68" s="192"/>
      <c r="G68" s="192"/>
      <c r="H68" s="192"/>
      <c r="I68" s="216"/>
      <c r="J68" s="193"/>
    </row>
    <row r="69" spans="2:10" ht="38" customHeight="1" x14ac:dyDescent="0.3">
      <c r="C69" s="208" t="s">
        <v>95</v>
      </c>
      <c r="D69" s="195">
        <f>SUMPRODUCT((LEFT(G21:G34, 5)="Scoop") / (COUNTIF(G21:G34, G21:G34 &amp; "") + (G21:G34="")))</f>
        <v>1</v>
      </c>
      <c r="E69" s="447" t="s">
        <v>90</v>
      </c>
      <c r="F69" s="447"/>
      <c r="G69" s="218">
        <v>0.20833333333333334</v>
      </c>
      <c r="I69" s="139"/>
      <c r="J69" s="190"/>
    </row>
    <row r="70" spans="2:10" ht="38" customHeight="1" x14ac:dyDescent="0.3">
      <c r="C70" s="208" t="s">
        <v>145</v>
      </c>
      <c r="D70" s="195">
        <v>4.9000000000000004</v>
      </c>
      <c r="E70" s="447" t="s">
        <v>97</v>
      </c>
      <c r="F70" s="447"/>
      <c r="G70" s="195">
        <f>15000/(60)</f>
        <v>250</v>
      </c>
      <c r="H70" s="219" t="s">
        <v>23</v>
      </c>
      <c r="I70" s="139"/>
      <c r="J70" s="190"/>
    </row>
    <row r="71" spans="2:10" ht="38" customHeight="1" x14ac:dyDescent="0.3">
      <c r="E71" s="448" t="s">
        <v>98</v>
      </c>
      <c r="F71" s="448"/>
      <c r="G71" s="207">
        <f>+SUM(SUMIF($G$21:$G$34, "Scoop*", $J$21:$J$34))/SUMPRODUCT((LEFT(G21:G34, 5)="Scoop") / (COUNTIF(G21:G34, G21:G34 &amp; "") + (G21:G34="")))</f>
        <v>0.1736111111111111</v>
      </c>
      <c r="H71" s="220">
        <f>+G71*24/($G$69*24)</f>
        <v>0.83333333333333326</v>
      </c>
      <c r="I71" s="190"/>
      <c r="J71" s="190"/>
    </row>
    <row r="72" spans="2:10" ht="38" customHeight="1" x14ac:dyDescent="0.3">
      <c r="E72" s="448" t="s">
        <v>99</v>
      </c>
      <c r="F72" s="448"/>
      <c r="G72" s="221">
        <f>+SUM(W21:W34)*D70/D69</f>
        <v>0</v>
      </c>
      <c r="H72" s="220">
        <f>+G72/G70</f>
        <v>0</v>
      </c>
      <c r="I72" s="190"/>
      <c r="J72" s="190"/>
    </row>
    <row r="73" spans="2:10" ht="38" customHeight="1" x14ac:dyDescent="0.3">
      <c r="G73" s="222" t="s">
        <v>96</v>
      </c>
      <c r="H73" s="139" t="s">
        <v>23</v>
      </c>
    </row>
    <row r="74" spans="2:10" ht="20" customHeight="1" x14ac:dyDescent="0.3">
      <c r="F74" s="208" t="s">
        <v>71</v>
      </c>
      <c r="G74" s="221">
        <f t="shared" ref="G74:G79" si="13" xml:space="preserve"> SUMIF($G$21:$G$34, +F74,$W$21:$W$34)*$D$70</f>
        <v>0</v>
      </c>
      <c r="H74" s="220">
        <f>+G74/$G$70</f>
        <v>0</v>
      </c>
    </row>
    <row r="75" spans="2:10" ht="20" customHeight="1" x14ac:dyDescent="0.3">
      <c r="F75" s="208" t="s">
        <v>72</v>
      </c>
      <c r="G75" s="221">
        <f t="shared" si="13"/>
        <v>0</v>
      </c>
      <c r="H75" s="220">
        <f t="shared" ref="H75:H80" si="14">+G75/$G$70</f>
        <v>0</v>
      </c>
    </row>
    <row r="76" spans="2:10" ht="20" customHeight="1" x14ac:dyDescent="0.3">
      <c r="F76" s="208" t="s">
        <v>73</v>
      </c>
      <c r="G76" s="221">
        <f t="shared" si="13"/>
        <v>0</v>
      </c>
      <c r="H76" s="220">
        <f t="shared" si="14"/>
        <v>0</v>
      </c>
    </row>
    <row r="77" spans="2:10" ht="20" customHeight="1" x14ac:dyDescent="0.3">
      <c r="F77" s="208" t="s">
        <v>74</v>
      </c>
      <c r="G77" s="221">
        <f t="shared" si="13"/>
        <v>0</v>
      </c>
      <c r="H77" s="220">
        <f t="shared" si="14"/>
        <v>0</v>
      </c>
    </row>
    <row r="78" spans="2:10" ht="20" customHeight="1" x14ac:dyDescent="0.3">
      <c r="F78" s="208" t="s">
        <v>75</v>
      </c>
      <c r="G78" s="221">
        <f t="shared" si="13"/>
        <v>0</v>
      </c>
      <c r="H78" s="220">
        <f t="shared" si="14"/>
        <v>0</v>
      </c>
    </row>
    <row r="79" spans="2:10" ht="20" customHeight="1" x14ac:dyDescent="0.3">
      <c r="F79" s="208" t="s">
        <v>76</v>
      </c>
      <c r="G79" s="221">
        <f t="shared" si="13"/>
        <v>0</v>
      </c>
      <c r="H79" s="220">
        <f t="shared" si="14"/>
        <v>0</v>
      </c>
    </row>
    <row r="80" spans="2:10" ht="20" customHeight="1" x14ac:dyDescent="0.3">
      <c r="F80" s="208" t="s">
        <v>146</v>
      </c>
      <c r="G80" s="223">
        <f>+SUM(G74:G79)</f>
        <v>0</v>
      </c>
      <c r="H80" s="220">
        <f t="shared" si="14"/>
        <v>0</v>
      </c>
    </row>
    <row r="81" spans="2:10" ht="13.5" thickBot="1" x14ac:dyDescent="0.35"/>
    <row r="82" spans="2:10" ht="30" customHeight="1" thickBot="1" x14ac:dyDescent="0.35">
      <c r="B82" s="191"/>
      <c r="C82" s="446" t="s">
        <v>149</v>
      </c>
      <c r="D82" s="446"/>
      <c r="E82" s="192"/>
      <c r="F82" s="192"/>
      <c r="G82" s="192"/>
      <c r="H82" s="192"/>
      <c r="I82" s="216"/>
      <c r="J82" s="193"/>
    </row>
    <row r="83" spans="2:10" ht="25.25" customHeight="1" x14ac:dyDescent="0.3">
      <c r="C83" s="208" t="s">
        <v>150</v>
      </c>
      <c r="D83" s="195">
        <f>SUMPRODUCT((LEFT(G21:G34, 8)="Roboshot") / (COUNTIF(G21:G34, G21:G34 &amp; "") + (G21:G34="")))</f>
        <v>0</v>
      </c>
      <c r="E83" s="447" t="s">
        <v>90</v>
      </c>
      <c r="F83" s="447"/>
      <c r="G83" s="218">
        <v>0.20833333333333334</v>
      </c>
    </row>
    <row r="84" spans="2:10" x14ac:dyDescent="0.3">
      <c r="C84" s="208"/>
      <c r="D84" s="195"/>
      <c r="E84" s="447" t="s">
        <v>97</v>
      </c>
      <c r="F84" s="447"/>
      <c r="G84" s="195">
        <v>12</v>
      </c>
      <c r="H84" s="219" t="s">
        <v>23</v>
      </c>
    </row>
    <row r="86" spans="2:10" x14ac:dyDescent="0.3">
      <c r="G86" s="222" t="s">
        <v>96</v>
      </c>
      <c r="H86" s="139" t="s">
        <v>23</v>
      </c>
    </row>
    <row r="87" spans="2:10" x14ac:dyDescent="0.3">
      <c r="F87" s="208" t="s">
        <v>77</v>
      </c>
      <c r="G87" s="221">
        <f xml:space="preserve"> SUMIF($G$21:$G$34, +F87,$X$21:$X$34)</f>
        <v>0</v>
      </c>
      <c r="H87" s="220">
        <f>+G87/$G$84</f>
        <v>0</v>
      </c>
    </row>
    <row r="88" spans="2:10" x14ac:dyDescent="0.3">
      <c r="F88" s="208" t="s">
        <v>78</v>
      </c>
      <c r="G88" s="221">
        <f xml:space="preserve"> SUMIF($G$21:$G$34, +F88,$X$21:$X$34)</f>
        <v>0</v>
      </c>
      <c r="H88" s="220">
        <f t="shared" ref="H88:H89" si="15">+G88/$G$84</f>
        <v>0</v>
      </c>
    </row>
    <row r="89" spans="2:10" x14ac:dyDescent="0.3">
      <c r="F89" s="208" t="s">
        <v>79</v>
      </c>
      <c r="G89" s="221">
        <f xml:space="preserve"> SUMIF($G$21:$G$34, +F89,$X$21:$X$34)</f>
        <v>0</v>
      </c>
      <c r="H89" s="220">
        <f t="shared" si="15"/>
        <v>0</v>
      </c>
    </row>
    <row r="90" spans="2:10" x14ac:dyDescent="0.3">
      <c r="F90" s="208" t="s">
        <v>146</v>
      </c>
      <c r="G90" s="223">
        <f>+SUM(G87:G89)</f>
        <v>0</v>
      </c>
      <c r="H90" s="220">
        <f>+G90/$G$84</f>
        <v>0</v>
      </c>
    </row>
  </sheetData>
  <mergeCells count="38">
    <mergeCell ref="E83:F83"/>
    <mergeCell ref="E84:F84"/>
    <mergeCell ref="C68:D68"/>
    <mergeCell ref="E69:F69"/>
    <mergeCell ref="E71:F71"/>
    <mergeCell ref="E72:F72"/>
    <mergeCell ref="C82:D82"/>
    <mergeCell ref="E70:F70"/>
    <mergeCell ref="E57:F57"/>
    <mergeCell ref="E58:F58"/>
    <mergeCell ref="C54:D54"/>
    <mergeCell ref="E55:F55"/>
    <mergeCell ref="E39:F39"/>
    <mergeCell ref="E40:F40"/>
    <mergeCell ref="E41:F41"/>
    <mergeCell ref="E44:G44"/>
    <mergeCell ref="E45:G45"/>
    <mergeCell ref="E46:G46"/>
    <mergeCell ref="E48:G48"/>
    <mergeCell ref="E49:G49"/>
    <mergeCell ref="E50:G50"/>
    <mergeCell ref="E52:G52"/>
    <mergeCell ref="E56:F56"/>
    <mergeCell ref="C38:D38"/>
    <mergeCell ref="G38:H38"/>
    <mergeCell ref="I38:J38"/>
    <mergeCell ref="K38:L38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40:H41 J40:J41">
    <cfRule type="cellIs" dxfId="902" priority="13" operator="greaterThan">
      <formula>0.9</formula>
    </cfRule>
    <cfRule type="cellIs" dxfId="901" priority="14" operator="between">
      <formula>0.81</formula>
      <formula>0.89</formula>
    </cfRule>
    <cfRule type="cellIs" dxfId="900" priority="15" operator="lessThan">
      <formula>0.8</formula>
    </cfRule>
  </conditionalFormatting>
  <conditionalFormatting sqref="H57:H58">
    <cfRule type="cellIs" dxfId="899" priority="16" operator="greaterThan">
      <formula>0.9</formula>
    </cfRule>
    <cfRule type="cellIs" dxfId="898" priority="17" operator="between">
      <formula>0.81</formula>
      <formula>0.89</formula>
    </cfRule>
    <cfRule type="cellIs" dxfId="897" priority="18" operator="lessThan">
      <formula>0.8</formula>
    </cfRule>
  </conditionalFormatting>
  <conditionalFormatting sqref="H60:H66">
    <cfRule type="cellIs" dxfId="896" priority="19" operator="greaterThan">
      <formula>0.9</formula>
    </cfRule>
    <cfRule type="cellIs" dxfId="895" priority="20" operator="between">
      <formula>0.81</formula>
      <formula>0.89</formula>
    </cfRule>
    <cfRule type="cellIs" dxfId="894" priority="21" operator="lessThan">
      <formula>0.8</formula>
    </cfRule>
  </conditionalFormatting>
  <conditionalFormatting sqref="H71:H72">
    <cfRule type="cellIs" dxfId="893" priority="7" operator="greaterThan">
      <formula>0.9</formula>
    </cfRule>
    <cfRule type="cellIs" dxfId="892" priority="8" operator="between">
      <formula>0.81</formula>
      <formula>0.89</formula>
    </cfRule>
    <cfRule type="cellIs" dxfId="891" priority="9" operator="lessThan">
      <formula>0.8</formula>
    </cfRule>
  </conditionalFormatting>
  <conditionalFormatting sqref="H74:H80">
    <cfRule type="cellIs" dxfId="890" priority="10" operator="greaterThan">
      <formula>0.9</formula>
    </cfRule>
    <cfRule type="cellIs" dxfId="889" priority="11" operator="between">
      <formula>0.81</formula>
      <formula>0.89</formula>
    </cfRule>
    <cfRule type="cellIs" dxfId="888" priority="12" operator="lessThan">
      <formula>0.8</formula>
    </cfRule>
  </conditionalFormatting>
  <conditionalFormatting sqref="H87:H90">
    <cfRule type="cellIs" dxfId="887" priority="4" operator="greaterThan">
      <formula>0.9</formula>
    </cfRule>
    <cfRule type="cellIs" dxfId="886" priority="5" operator="between">
      <formula>0.81</formula>
      <formula>0.89</formula>
    </cfRule>
    <cfRule type="cellIs" dxfId="885" priority="6" operator="lessThan">
      <formula>0.8</formula>
    </cfRule>
  </conditionalFormatting>
  <conditionalFormatting sqref="L40:L41">
    <cfRule type="cellIs" dxfId="884" priority="1" operator="greaterThan">
      <formula>0.9</formula>
    </cfRule>
    <cfRule type="cellIs" dxfId="883" priority="2" operator="between">
      <formula>0.81</formula>
      <formula>0.89</formula>
    </cfRule>
    <cfRule type="cellIs" dxfId="882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1DE07C8-7CC3-44A2-B748-92F01E8B5E12}">
          <x14:formula1>
            <xm:f>Datos!$F$3:$F$41</xm:f>
          </x14:formula1>
          <xm:sqref>G21:G27 G30:G36</xm:sqref>
        </x14:dataValidation>
        <x14:dataValidation type="list" allowBlank="1" showInputMessage="1" showErrorMessage="1" xr:uid="{6B73FF46-A0FB-4FC3-9ACC-C3BB134791A0}">
          <x14:formula1>
            <xm:f>Datos!$W$3:$W$12</xm:f>
          </x14:formula1>
          <xm:sqref>L21:L27 L30:L36</xm:sqref>
        </x14:dataValidation>
        <x14:dataValidation type="list" allowBlank="1" showInputMessage="1" showErrorMessage="1" xr:uid="{2DAEAFD5-3EDF-4D1C-A08B-12F5ED918BFF}">
          <x14:formula1>
            <xm:f>Datos!$D$3:$D$27</xm:f>
          </x14:formula1>
          <xm:sqref>F21:F27 F30:F36</xm:sqref>
        </x14:dataValidation>
        <x14:dataValidation type="list" allowBlank="1" showInputMessage="1" showErrorMessage="1" xr:uid="{F0CC219F-C0E2-47FD-B06E-31F8B0AC424C}">
          <x14:formula1>
            <xm:f>Datos!$B$3:$B$8</xm:f>
          </x14:formula1>
          <xm:sqref>E21:E27 E30:E36</xm:sqref>
        </x14:dataValidation>
        <x14:dataValidation type="list" allowBlank="1" showInputMessage="1" showErrorMessage="1" xr:uid="{4158620E-1EBA-488C-B61A-00ABAA3E31BA}">
          <x14:formula1>
            <xm:f>Datos!$H$3:$H$34</xm:f>
          </x14:formula1>
          <xm:sqref>D21:D25 D30:D33</xm:sqref>
        </x14:dataValidation>
        <x14:dataValidation type="list" allowBlank="1" showInputMessage="1" showErrorMessage="1" xr:uid="{9E2FA2EB-EFE8-469F-A35B-69CD8E3A3601}">
          <x14:formula1>
            <xm:f>Datos!$H$3:$H$26</xm:f>
          </x14:formula1>
          <xm:sqref>D34:D36 D26:D27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0063-7F50-4ECA-A928-D066E9DC8D3F}">
  <sheetPr>
    <pageSetUpPr fitToPage="1"/>
  </sheetPr>
  <dimension ref="B1:X90"/>
  <sheetViews>
    <sheetView showGridLines="0" topLeftCell="A19" zoomScale="70" zoomScaleNormal="70" zoomScaleSheetLayoutView="50" workbookViewId="0">
      <pane xSplit="3" ySplit="2" topLeftCell="D41" activePane="bottomRight" state="frozen"/>
      <selection activeCell="M54" sqref="M54"/>
      <selection pane="topRight" activeCell="M54" sqref="M54"/>
      <selection pane="bottomLeft" activeCell="M54" sqref="M54"/>
      <selection pane="bottomRight" activeCell="M54" sqref="M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81640625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+G40</f>
        <v>0.64236111111111105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+H41</f>
        <v>0.93333333333333324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+G66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+G80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+G90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52</v>
      </c>
      <c r="E21" s="172" t="s">
        <v>6</v>
      </c>
      <c r="F21" s="172" t="s">
        <v>169</v>
      </c>
      <c r="G21" s="172" t="s">
        <v>211</v>
      </c>
      <c r="H21" s="174">
        <v>0.39583333333333331</v>
      </c>
      <c r="I21" s="174">
        <v>0.5625</v>
      </c>
      <c r="J21" s="175">
        <f t="shared" ref="J21:J26" si="0">MOD(I21-H21, 1)</f>
        <v>0.16666666666666669</v>
      </c>
      <c r="K21" s="178">
        <v>150</v>
      </c>
      <c r="L21" s="177" t="s">
        <v>126</v>
      </c>
      <c r="M21" s="178"/>
      <c r="N21" s="179">
        <v>1</v>
      </c>
      <c r="O21" s="225"/>
      <c r="P21" s="181"/>
      <c r="Q21" s="174"/>
      <c r="R21" s="174"/>
      <c r="S21" s="175">
        <f>+MOD(R21-Q21,1)</f>
        <v>0</v>
      </c>
      <c r="U21" s="182">
        <f>+IFERROR(VLOOKUP(D21,Datos!$R$3:$T$19,3,FALSE), "0")*N21</f>
        <v>6.8454078722190517E-2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59</v>
      </c>
      <c r="E22" s="172" t="s">
        <v>6</v>
      </c>
      <c r="F22" s="172" t="s">
        <v>169</v>
      </c>
      <c r="G22" s="172" t="s">
        <v>204</v>
      </c>
      <c r="H22" s="174">
        <v>0.54861111111111116</v>
      </c>
      <c r="I22" s="174">
        <v>0.59722222222222221</v>
      </c>
      <c r="J22" s="175">
        <f t="shared" si="0"/>
        <v>4.8611111111111049E-2</v>
      </c>
      <c r="K22" s="178"/>
      <c r="L22" s="177"/>
      <c r="M22" s="178"/>
      <c r="N22" s="179">
        <v>1</v>
      </c>
      <c r="O22" s="225"/>
      <c r="P22" s="181"/>
      <c r="Q22" s="174"/>
      <c r="R22" s="172"/>
      <c r="S22" s="175">
        <f t="shared" ref="S22:S27" si="1">+MOD(R22-Q22,1)</f>
        <v>0</v>
      </c>
      <c r="U22" s="182">
        <f>+IFERROR(VLOOKUP(D22,Datos!$R$3:$T$19,3,FALSE), "0")*N22</f>
        <v>5.7045065601825425E-3</v>
      </c>
      <c r="V22" s="183" t="str">
        <f t="shared" ref="V22:V27" si="2">IF(OR(D22="Perforación de Fortificación", D22="Perforación de Avance", D22="Perforación Desquinche"), K22*M22, "")</f>
        <v/>
      </c>
      <c r="W22" s="183" t="str">
        <f t="shared" ref="W22:W27" si="3">IF(D22="Extracción de Marina Disparo",K22,"")</f>
        <v/>
      </c>
      <c r="X22" s="183" t="str">
        <f t="shared" ref="X22:X27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101</v>
      </c>
      <c r="E23" s="172" t="s">
        <v>6</v>
      </c>
      <c r="F23" s="172" t="s">
        <v>169</v>
      </c>
      <c r="G23" s="172"/>
      <c r="H23" s="174">
        <v>0.60416666666666663</v>
      </c>
      <c r="I23" s="174">
        <v>0.63888888888888884</v>
      </c>
      <c r="J23" s="175">
        <f t="shared" si="0"/>
        <v>3.472222222222221E-2</v>
      </c>
      <c r="K23" s="178"/>
      <c r="L23" s="177"/>
      <c r="M23" s="178"/>
      <c r="N23" s="179">
        <v>1</v>
      </c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5.7045065601825425E-3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63</v>
      </c>
      <c r="E24" s="172" t="s">
        <v>6</v>
      </c>
      <c r="F24" s="172" t="s">
        <v>169</v>
      </c>
      <c r="G24" s="172" t="s">
        <v>203</v>
      </c>
      <c r="H24" s="174">
        <v>0.64583333333333337</v>
      </c>
      <c r="I24" s="174">
        <v>0.80208333333333337</v>
      </c>
      <c r="J24" s="175">
        <f>MOD(I24-H24, 1)</f>
        <v>0.15625</v>
      </c>
      <c r="K24" s="178">
        <v>90</v>
      </c>
      <c r="L24" s="177" t="s">
        <v>138</v>
      </c>
      <c r="M24" s="178">
        <v>3.8</v>
      </c>
      <c r="N24" s="179">
        <v>0.6</v>
      </c>
      <c r="O24" s="225"/>
      <c r="P24" s="181"/>
      <c r="Q24" s="172"/>
      <c r="R24" s="172"/>
      <c r="S24" s="175">
        <f>+MOD(R24-Q24,1)</f>
        <v>0</v>
      </c>
      <c r="U24" s="182">
        <f>+IFERROR(VLOOKUP(D24,Datos!$R$3:$T$19,3,FALSE), "0")*N24</f>
        <v>8.111808328579577E-2</v>
      </c>
      <c r="V24" s="183">
        <f>IF(OR(D24="Perforación de Fortificación", D24="Perforación de Avance", D24="Perforación Desquinche"), K24*M24, "")</f>
        <v>342</v>
      </c>
      <c r="W24" s="183" t="str">
        <f>IF(D24="Extracción de Marina Disparo",K24,"")</f>
        <v/>
      </c>
      <c r="X24" s="183" t="str">
        <f>IF(OR(D24="Shotcrete", D24="Pre Shotcrete"), K24, "")</f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105</v>
      </c>
      <c r="E25" s="172" t="s">
        <v>6</v>
      </c>
      <c r="F25" s="172" t="s">
        <v>169</v>
      </c>
      <c r="G25" s="172" t="s">
        <v>204</v>
      </c>
      <c r="H25" s="174">
        <v>0.40277777777777779</v>
      </c>
      <c r="I25" s="174">
        <v>0.55555555555555558</v>
      </c>
      <c r="J25" s="175">
        <f t="shared" si="0"/>
        <v>0.15277777777777779</v>
      </c>
      <c r="K25" s="178">
        <v>56</v>
      </c>
      <c r="L25" s="177" t="s">
        <v>128</v>
      </c>
      <c r="M25" s="178"/>
      <c r="N25" s="179">
        <v>1</v>
      </c>
      <c r="O25" s="225" t="s">
        <v>328</v>
      </c>
      <c r="P25" s="181"/>
      <c r="Q25" s="174"/>
      <c r="R25" s="174"/>
      <c r="S25" s="175">
        <f t="shared" si="1"/>
        <v>0</v>
      </c>
      <c r="U25" s="182"/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7.75" customHeight="1" x14ac:dyDescent="0.3">
      <c r="B26" s="172">
        <v>3500</v>
      </c>
      <c r="C26" s="173" t="s">
        <v>154</v>
      </c>
      <c r="D26" s="173" t="s">
        <v>105</v>
      </c>
      <c r="E26" s="172" t="s">
        <v>6</v>
      </c>
      <c r="F26" s="172" t="s">
        <v>169</v>
      </c>
      <c r="G26" s="172" t="s">
        <v>204</v>
      </c>
      <c r="H26" s="174">
        <v>0.5625</v>
      </c>
      <c r="I26" s="174">
        <v>0.64583333333333337</v>
      </c>
      <c r="J26" s="175">
        <f t="shared" si="0"/>
        <v>8.333333333333337E-2</v>
      </c>
      <c r="K26" s="178">
        <v>44</v>
      </c>
      <c r="L26" s="177" t="s">
        <v>128</v>
      </c>
      <c r="M26" s="178"/>
      <c r="N26" s="179">
        <v>1</v>
      </c>
      <c r="O26" s="225" t="s">
        <v>330</v>
      </c>
      <c r="P26" s="181"/>
      <c r="Q26" s="172"/>
      <c r="R26" s="172"/>
      <c r="S26" s="175">
        <f t="shared" si="1"/>
        <v>0</v>
      </c>
      <c r="U26" s="182"/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MOD(I24-H21, 1)</f>
        <v>0.40625000000000006</v>
      </c>
      <c r="K27" s="178"/>
      <c r="L27" s="177"/>
      <c r="M27" s="178"/>
      <c r="N27" s="179"/>
      <c r="O27" s="186" t="s">
        <v>331</v>
      </c>
      <c r="P27" s="172"/>
      <c r="Q27" s="172"/>
      <c r="R27" s="172"/>
      <c r="S27" s="175">
        <f t="shared" si="1"/>
        <v>0</v>
      </c>
      <c r="U27" s="182">
        <f>SUM(U21:U26)+Datos!V21</f>
        <v>0.2043354249857387</v>
      </c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+Datos!R23</f>
        <v>Ciclo Minero 5,2 x 5,6 m
Galería Acceso Portal de Servicio</v>
      </c>
      <c r="D30" s="173" t="s">
        <v>52</v>
      </c>
      <c r="E30" s="172" t="s">
        <v>6</v>
      </c>
      <c r="F30" s="172" t="s">
        <v>170</v>
      </c>
      <c r="G30" s="172" t="s">
        <v>212</v>
      </c>
      <c r="H30" s="174">
        <v>0.41666666666666669</v>
      </c>
      <c r="I30" s="174">
        <v>0.69444444444444442</v>
      </c>
      <c r="J30" s="175">
        <f t="shared" ref="J30:J33" si="5">MOD(I30-H30, 1)</f>
        <v>0.27777777777777773</v>
      </c>
      <c r="K30" s="178">
        <v>210</v>
      </c>
      <c r="L30" s="177" t="s">
        <v>126</v>
      </c>
      <c r="M30" s="178"/>
      <c r="N30" s="179">
        <v>1</v>
      </c>
      <c r="O30" s="186" t="s">
        <v>332</v>
      </c>
      <c r="P30" s="181"/>
      <c r="Q30" s="174"/>
      <c r="R30" s="174"/>
      <c r="S30" s="175">
        <f t="shared" ref="S30" si="6">MOD(R30-Q30, 1)</f>
        <v>0</v>
      </c>
      <c r="U30" s="187">
        <f>+IFERROR(VLOOKUP(D30,Datos!$R$24:$T$40,3,FALSE), "0")*N30</f>
        <v>7.3313782991202336E-2</v>
      </c>
      <c r="V30" s="183" t="str">
        <f t="shared" ref="V30:V36" si="7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6" si="8">IF(OR(D30="Shotcrete", D30="Pre Shotcrete"), K30, "")</f>
        <v/>
      </c>
    </row>
    <row r="31" spans="2:24" ht="53.4" customHeight="1" x14ac:dyDescent="0.3">
      <c r="B31" s="172">
        <v>3700</v>
      </c>
      <c r="C31" s="173" t="str">
        <f>+C30</f>
        <v>Ciclo Minero 5,2 x 5,6 m
Galería Acceso Portal de Servicio</v>
      </c>
      <c r="D31" s="173" t="s">
        <v>59</v>
      </c>
      <c r="E31" s="172" t="s">
        <v>6</v>
      </c>
      <c r="F31" s="172" t="s">
        <v>170</v>
      </c>
      <c r="G31" s="172"/>
      <c r="H31" s="174">
        <v>0.69444444444444442</v>
      </c>
      <c r="I31" s="174">
        <v>0.71875</v>
      </c>
      <c r="J31" s="175">
        <f t="shared" si="5"/>
        <v>2.430555555555558E-2</v>
      </c>
      <c r="K31" s="178"/>
      <c r="L31" s="177"/>
      <c r="M31" s="178"/>
      <c r="N31" s="179">
        <v>1</v>
      </c>
      <c r="O31" s="225" t="s">
        <v>333</v>
      </c>
      <c r="P31" s="172"/>
      <c r="Q31" s="172"/>
      <c r="R31" s="172"/>
      <c r="S31" s="175">
        <f t="shared" ref="S31:S36" si="9">+MOD(R31-Q31,1)</f>
        <v>0</v>
      </c>
      <c r="U31" s="187">
        <f>+IFERROR(VLOOKUP(D31,Datos!$R$24:$T$40,3,FALSE), "0")*N31</f>
        <v>9.7751710654936444E-3</v>
      </c>
      <c r="V31" s="183" t="str">
        <f t="shared" si="7"/>
        <v/>
      </c>
      <c r="W31" s="183" t="str">
        <f t="shared" ref="W31:W36" si="10">IF(D31="Extracción de Marina Disparo",K31,"")</f>
        <v/>
      </c>
      <c r="X31" s="183" t="str">
        <f t="shared" si="8"/>
        <v/>
      </c>
    </row>
    <row r="32" spans="2:24" ht="38" customHeight="1" x14ac:dyDescent="0.3">
      <c r="B32" s="172">
        <v>3700</v>
      </c>
      <c r="C32" s="173" t="str">
        <f>+C31</f>
        <v>Ciclo Minero 5,2 x 5,6 m
Galería Acceso Portal de Servicio</v>
      </c>
      <c r="D32" s="173" t="s">
        <v>63</v>
      </c>
      <c r="E32" s="172" t="s">
        <v>6</v>
      </c>
      <c r="F32" s="172" t="s">
        <v>170</v>
      </c>
      <c r="G32" s="172" t="s">
        <v>202</v>
      </c>
      <c r="H32" s="174">
        <v>0.71875</v>
      </c>
      <c r="I32" s="174">
        <v>0.82291666666666663</v>
      </c>
      <c r="J32" s="175">
        <f t="shared" si="5"/>
        <v>0.10416666666666663</v>
      </c>
      <c r="K32" s="178">
        <v>13</v>
      </c>
      <c r="L32" s="177" t="s">
        <v>138</v>
      </c>
      <c r="M32" s="178">
        <v>3.8</v>
      </c>
      <c r="N32" s="179">
        <v>0.12</v>
      </c>
      <c r="O32" s="188"/>
      <c r="P32" s="173" t="s">
        <v>334</v>
      </c>
      <c r="Q32" s="174"/>
      <c r="R32" s="174"/>
      <c r="S32" s="175">
        <f t="shared" si="9"/>
        <v>0</v>
      </c>
      <c r="U32" s="187">
        <f>+IFERROR(VLOOKUP(D32,Datos!$R$24:$T$40,3,FALSE), "0")*N32</f>
        <v>1.5131964809384163E-2</v>
      </c>
      <c r="V32" s="183">
        <f t="shared" si="7"/>
        <v>49.4</v>
      </c>
      <c r="W32" s="183" t="str">
        <f t="shared" si="10"/>
        <v/>
      </c>
      <c r="X32" s="183"/>
    </row>
    <row r="33" spans="2:24" ht="38" customHeight="1" x14ac:dyDescent="0.3">
      <c r="B33" s="172">
        <v>3700</v>
      </c>
      <c r="C33" s="173" t="str">
        <f>+C32</f>
        <v>Ciclo Minero 5,2 x 5,6 m
Galería Acceso Portal de Servicio</v>
      </c>
      <c r="D33" s="173"/>
      <c r="E33" s="172"/>
      <c r="F33" s="172"/>
      <c r="G33" s="172"/>
      <c r="H33" s="174"/>
      <c r="I33" s="174"/>
      <c r="J33" s="175">
        <f t="shared" si="5"/>
        <v>0</v>
      </c>
      <c r="K33" s="178"/>
      <c r="L33" s="177"/>
      <c r="M33" s="178"/>
      <c r="N33" s="179"/>
      <c r="O33" s="186" t="s">
        <v>331</v>
      </c>
      <c r="P33" s="181"/>
      <c r="Q33" s="174"/>
      <c r="R33" s="174"/>
      <c r="S33" s="175">
        <f t="shared" si="9"/>
        <v>0</v>
      </c>
      <c r="U33" s="182">
        <f>SUM(U30:U32)+Datos!V42</f>
        <v>0.26443792766373408</v>
      </c>
      <c r="V33" s="183" t="str">
        <f t="shared" si="7"/>
        <v/>
      </c>
      <c r="W33" s="183" t="str">
        <f t="shared" si="10"/>
        <v/>
      </c>
      <c r="X33" s="183" t="str">
        <f t="shared" si="8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8"/>
      <c r="P34" s="172"/>
      <c r="Q34" s="172"/>
      <c r="R34" s="172"/>
      <c r="S34" s="175">
        <f t="shared" si="9"/>
        <v>0</v>
      </c>
      <c r="U34" s="187"/>
      <c r="V34" s="183" t="str">
        <f t="shared" si="7"/>
        <v/>
      </c>
      <c r="W34" s="183" t="str">
        <f t="shared" si="10"/>
        <v/>
      </c>
      <c r="X34" s="183" t="str">
        <f t="shared" si="8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2"/>
      <c r="J35" s="175"/>
      <c r="K35" s="178"/>
      <c r="L35" s="177"/>
      <c r="M35" s="178"/>
      <c r="N35" s="179"/>
      <c r="O35" s="188"/>
      <c r="P35" s="172"/>
      <c r="Q35" s="172"/>
      <c r="R35" s="172"/>
      <c r="S35" s="175">
        <f t="shared" si="9"/>
        <v>0</v>
      </c>
      <c r="U35" s="184"/>
      <c r="V35" s="183" t="str">
        <f t="shared" si="7"/>
        <v/>
      </c>
      <c r="W35" s="183" t="str">
        <f t="shared" si="10"/>
        <v/>
      </c>
      <c r="X35" s="183" t="str">
        <f t="shared" si="8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 t="s">
        <v>329</v>
      </c>
      <c r="J36" s="175">
        <f>SUM(J30:J33)</f>
        <v>0.40624999999999994</v>
      </c>
      <c r="K36" s="178"/>
      <c r="L36" s="177"/>
      <c r="M36" s="178"/>
      <c r="N36" s="179"/>
      <c r="O36" s="225"/>
      <c r="P36" s="172"/>
      <c r="Q36" s="172"/>
      <c r="R36" s="172"/>
      <c r="S36" s="175">
        <f t="shared" si="9"/>
        <v>0</v>
      </c>
      <c r="U36" s="189"/>
      <c r="V36" s="183" t="str">
        <f t="shared" si="7"/>
        <v/>
      </c>
      <c r="W36" s="183" t="str">
        <f t="shared" si="10"/>
        <v/>
      </c>
      <c r="X36" s="183" t="str">
        <f t="shared" si="8"/>
        <v/>
      </c>
    </row>
    <row r="37" spans="2:24" ht="15.65" customHeight="1" thickBot="1" x14ac:dyDescent="0.35">
      <c r="B37" s="190"/>
      <c r="C37" s="190"/>
      <c r="D37" s="190"/>
      <c r="E37" s="190"/>
      <c r="F37" s="190"/>
      <c r="G37" s="190"/>
      <c r="H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</row>
    <row r="38" spans="2:24" ht="30" customHeight="1" thickBot="1" x14ac:dyDescent="0.35">
      <c r="B38" s="191"/>
      <c r="C38" s="446" t="s">
        <v>64</v>
      </c>
      <c r="D38" s="446"/>
      <c r="E38" s="192"/>
      <c r="F38" s="192"/>
      <c r="G38" s="431">
        <v>3500</v>
      </c>
      <c r="H38" s="432"/>
      <c r="I38" s="431">
        <v>3700</v>
      </c>
      <c r="J38" s="432"/>
      <c r="K38" s="433" t="s">
        <v>146</v>
      </c>
      <c r="L38" s="434"/>
      <c r="M38" s="190"/>
      <c r="N38" s="190"/>
      <c r="O38" s="190"/>
      <c r="P38" s="190"/>
      <c r="Q38" s="190"/>
      <c r="R38" s="190"/>
      <c r="S38" s="190"/>
    </row>
    <row r="39" spans="2:24" ht="30" customHeight="1" x14ac:dyDescent="0.3">
      <c r="C39" s="194" t="s">
        <v>48</v>
      </c>
      <c r="D39" s="195">
        <f>SUMPRODUCT((LEFT(F21:F34, 1)="C") / (COUNTIF(F21:F34, F21:F34 &amp; "") + (F21:F34="")))</f>
        <v>0</v>
      </c>
      <c r="E39" s="447" t="s">
        <v>90</v>
      </c>
      <c r="F39" s="447"/>
      <c r="G39" s="196">
        <v>0.26041666666666669</v>
      </c>
      <c r="H39" s="197" t="s">
        <v>23</v>
      </c>
      <c r="I39" s="196">
        <v>0.26041666666666669</v>
      </c>
      <c r="J39" s="197" t="s">
        <v>23</v>
      </c>
      <c r="K39" s="198">
        <f>+G39</f>
        <v>0.26041666666666669</v>
      </c>
      <c r="L39" s="197" t="s">
        <v>23</v>
      </c>
      <c r="M39" s="190"/>
      <c r="N39" s="190"/>
      <c r="O39" s="190"/>
      <c r="P39" s="190"/>
      <c r="Q39" s="190"/>
      <c r="R39" s="190"/>
      <c r="S39" s="190"/>
    </row>
    <row r="40" spans="2:24" x14ac:dyDescent="0.3">
      <c r="C40" s="194" t="s">
        <v>49</v>
      </c>
      <c r="D40" s="195">
        <f>SUMPRODUCT((LEFT(F21:F34, 1)="O") / (COUNTIF(F21:F34, F21:F34 &amp; "") + (F21:F34="")))</f>
        <v>0</v>
      </c>
      <c r="E40" s="448" t="s">
        <v>198</v>
      </c>
      <c r="F40" s="448"/>
      <c r="G40" s="199">
        <f>SUM(J21:J26)</f>
        <v>0.64236111111111105</v>
      </c>
      <c r="H40" s="200">
        <f>+G40*24/($G$39*24)</f>
        <v>2.4666666666666663</v>
      </c>
      <c r="I40" s="199">
        <f>SUM(J30:J34)</f>
        <v>0.40624999999999994</v>
      </c>
      <c r="J40" s="200">
        <f>+I40*24/($I$39*24)</f>
        <v>1.5599999999999996</v>
      </c>
      <c r="K40" s="201">
        <f>AVERAGE(G40+I40)/2</f>
        <v>0.52430555555555547</v>
      </c>
      <c r="L40" s="200">
        <f>+K40*24/($K$39*24)</f>
        <v>2.0133333333333332</v>
      </c>
      <c r="M40" s="190"/>
      <c r="N40" s="190"/>
      <c r="O40" s="190"/>
      <c r="P40" s="190"/>
      <c r="Q40" s="190"/>
      <c r="R40" s="190"/>
      <c r="S40" s="190"/>
    </row>
    <row r="41" spans="2:24" ht="43.25" customHeight="1" thickBot="1" x14ac:dyDescent="0.35">
      <c r="E41" s="448" t="s">
        <v>94</v>
      </c>
      <c r="F41" s="448"/>
      <c r="G41" s="202"/>
      <c r="H41" s="203">
        <f>+AVERAGE(N21:N27)</f>
        <v>0.93333333333333324</v>
      </c>
      <c r="I41" s="202"/>
      <c r="J41" s="203">
        <f>+AVERAGE(N30:N34)</f>
        <v>0.70666666666666667</v>
      </c>
      <c r="K41" s="204"/>
      <c r="L41" s="203">
        <f>+AVERAGE(N21:N34)</f>
        <v>0.85777777777777775</v>
      </c>
    </row>
    <row r="42" spans="2:24" ht="43.25" customHeight="1" x14ac:dyDescent="0.3">
      <c r="E42" s="205"/>
      <c r="F42" s="205"/>
      <c r="G42" s="206"/>
      <c r="H42" s="206"/>
      <c r="I42" s="137"/>
      <c r="J42" s="137"/>
      <c r="K42" s="137"/>
      <c r="L42" s="137"/>
    </row>
    <row r="43" spans="2:24" ht="43.25" customHeight="1" x14ac:dyDescent="0.3">
      <c r="E43" s="194"/>
      <c r="F43" s="194"/>
      <c r="G43" s="207"/>
      <c r="H43" s="208" t="s">
        <v>24</v>
      </c>
      <c r="I43" s="208" t="s">
        <v>199</v>
      </c>
      <c r="J43" s="208" t="s">
        <v>201</v>
      </c>
      <c r="K43" s="208" t="s">
        <v>258</v>
      </c>
      <c r="L43" s="345" t="s">
        <v>484</v>
      </c>
      <c r="M43" s="345" t="s">
        <v>485</v>
      </c>
      <c r="N43" s="208"/>
    </row>
    <row r="44" spans="2:24" ht="14.5" x14ac:dyDescent="0.35">
      <c r="E44" s="445" t="s">
        <v>174</v>
      </c>
      <c r="F44" s="445"/>
      <c r="G44" s="445"/>
      <c r="H44" s="209">
        <f>+U33</f>
        <v>0.26443792766373408</v>
      </c>
      <c r="I44" s="210">
        <f>+H44*$J$44*$K$44</f>
        <v>5.9688929032258056</v>
      </c>
      <c r="J44" s="211">
        <v>6.6</v>
      </c>
      <c r="K44" s="246">
        <v>3.42</v>
      </c>
      <c r="L44" s="344">
        <v>56.080975609756102</v>
      </c>
      <c r="M44" s="344">
        <f>+L44*K44*H44</f>
        <v>50.718384442886773</v>
      </c>
    </row>
    <row r="45" spans="2:24" ht="14.4" customHeight="1" x14ac:dyDescent="0.35">
      <c r="E45" s="445" t="s">
        <v>224</v>
      </c>
      <c r="F45" s="445"/>
      <c r="G45" s="445"/>
      <c r="H45" s="209"/>
      <c r="I45" s="210">
        <f>+J45*K45</f>
        <v>0</v>
      </c>
      <c r="J45" s="214">
        <f>1892/1000000</f>
        <v>1.892E-3</v>
      </c>
      <c r="K45" s="246">
        <f>+((15*4.4)*2.72)*0</f>
        <v>0</v>
      </c>
      <c r="L45" s="346">
        <v>1.6919982016368774E-2</v>
      </c>
      <c r="M45" s="344">
        <f>+L45*K45</f>
        <v>0</v>
      </c>
    </row>
    <row r="46" spans="2:24" ht="14.4" customHeight="1" x14ac:dyDescent="0.35">
      <c r="E46" s="445" t="s">
        <v>298</v>
      </c>
      <c r="F46" s="445"/>
      <c r="G46" s="445"/>
      <c r="H46" s="209"/>
      <c r="I46" s="210">
        <f>SUM(I44:I45)</f>
        <v>5.9688929032258056</v>
      </c>
      <c r="J46" s="214"/>
      <c r="K46" s="246"/>
      <c r="L46" s="346"/>
      <c r="M46" s="344"/>
    </row>
    <row r="47" spans="2:24" ht="14.4" customHeight="1" x14ac:dyDescent="0.35">
      <c r="E47" s="227"/>
      <c r="F47" s="227"/>
      <c r="G47" s="227"/>
      <c r="H47" s="209"/>
      <c r="I47" s="210"/>
      <c r="J47" s="214"/>
      <c r="K47" s="246"/>
      <c r="L47" s="346"/>
      <c r="M47" s="344"/>
    </row>
    <row r="48" spans="2:24" ht="14.4" customHeight="1" x14ac:dyDescent="0.35">
      <c r="E48" s="445" t="s">
        <v>175</v>
      </c>
      <c r="F48" s="445"/>
      <c r="G48" s="445"/>
      <c r="H48" s="209">
        <f>+U27</f>
        <v>0.2043354249857387</v>
      </c>
      <c r="I48" s="210">
        <f>+H48*$J$48*$K$48</f>
        <v>8.246160410724471</v>
      </c>
      <c r="J48" s="211">
        <v>11.8</v>
      </c>
      <c r="K48" s="246">
        <v>3.42</v>
      </c>
      <c r="L48" s="344">
        <v>118.52055555555555</v>
      </c>
      <c r="M48" s="344">
        <f>+L48*K48*H48</f>
        <v>82.825382464346816</v>
      </c>
    </row>
    <row r="49" spans="2:13" ht="14.4" customHeight="1" x14ac:dyDescent="0.35">
      <c r="E49" s="445" t="s">
        <v>225</v>
      </c>
      <c r="F49" s="445"/>
      <c r="G49" s="445"/>
      <c r="H49" s="209"/>
      <c r="I49" s="210">
        <f>+J49*K49</f>
        <v>0</v>
      </c>
      <c r="J49" s="214">
        <f>+J45</f>
        <v>1.892E-3</v>
      </c>
      <c r="K49" s="246">
        <f>+((15*2.8)*2.72)*0</f>
        <v>0</v>
      </c>
      <c r="L49" s="346">
        <v>1.6919982016368774E-2</v>
      </c>
      <c r="M49" s="344">
        <f>+L49*K49</f>
        <v>0</v>
      </c>
    </row>
    <row r="50" spans="2:13" ht="14.4" customHeight="1" x14ac:dyDescent="0.3">
      <c r="E50" s="445" t="s">
        <v>297</v>
      </c>
      <c r="F50" s="445"/>
      <c r="G50" s="445"/>
      <c r="H50" s="209"/>
      <c r="I50" s="210">
        <f>SUM(I48:I49)</f>
        <v>8.246160410724471</v>
      </c>
      <c r="J50" s="214"/>
      <c r="K50" s="246"/>
      <c r="L50" s="351"/>
      <c r="M50" s="349"/>
    </row>
    <row r="51" spans="2:13" ht="14.4" customHeight="1" x14ac:dyDescent="0.3">
      <c r="E51" s="227"/>
      <c r="F51" s="227"/>
      <c r="G51" s="227"/>
      <c r="H51" s="209"/>
      <c r="I51" s="210"/>
      <c r="J51" s="214"/>
      <c r="K51" s="246"/>
      <c r="L51" s="351"/>
      <c r="M51" s="349"/>
    </row>
    <row r="52" spans="2:13" ht="14.4" customHeight="1" x14ac:dyDescent="0.35">
      <c r="E52" s="445" t="s">
        <v>236</v>
      </c>
      <c r="F52" s="445"/>
      <c r="G52" s="445"/>
      <c r="H52" s="209"/>
      <c r="I52" s="210">
        <f>+J52*K52</f>
        <v>0</v>
      </c>
      <c r="J52" s="214">
        <f>25508/1000000</f>
        <v>2.5507999999999999E-2</v>
      </c>
      <c r="K52" s="246">
        <f>14.43*0</f>
        <v>0</v>
      </c>
      <c r="L52" s="347" t="s">
        <v>486</v>
      </c>
      <c r="M52" s="344"/>
    </row>
    <row r="53" spans="2:13" ht="13.5" thickBot="1" x14ac:dyDescent="0.35">
      <c r="M53" s="352">
        <f>SUM(M44:M52)</f>
        <v>133.54376690723359</v>
      </c>
    </row>
    <row r="54" spans="2:13" ht="30" customHeight="1" thickBot="1" x14ac:dyDescent="0.35">
      <c r="B54" s="191"/>
      <c r="C54" s="446" t="s">
        <v>88</v>
      </c>
      <c r="D54" s="446"/>
      <c r="E54" s="192"/>
      <c r="F54" s="192"/>
      <c r="G54" s="192"/>
      <c r="H54" s="192"/>
      <c r="I54" s="216"/>
      <c r="J54" s="193"/>
    </row>
    <row r="55" spans="2:13" ht="38" customHeight="1" x14ac:dyDescent="0.3">
      <c r="C55" s="217" t="s">
        <v>89</v>
      </c>
      <c r="D55" s="195">
        <f>SUMPRODUCT((LEFT(G21:G34, 5)="Jumbo") / (COUNTIF(G21:G34, G21:G34 &amp; "") + (G21:G34="")))</f>
        <v>2</v>
      </c>
      <c r="E55" s="447" t="s">
        <v>90</v>
      </c>
      <c r="F55" s="447"/>
      <c r="G55" s="218">
        <v>0.20833333333333334</v>
      </c>
      <c r="I55" s="139"/>
      <c r="J55" s="190"/>
    </row>
    <row r="56" spans="2:13" ht="38" customHeight="1" x14ac:dyDescent="0.3">
      <c r="E56" s="447" t="s">
        <v>93</v>
      </c>
      <c r="F56" s="447"/>
      <c r="G56" s="195">
        <f>15000/(60)</f>
        <v>250</v>
      </c>
      <c r="H56" s="219" t="s">
        <v>143</v>
      </c>
      <c r="I56" s="139"/>
      <c r="J56" s="190"/>
    </row>
    <row r="57" spans="2:13" ht="38" customHeight="1" x14ac:dyDescent="0.3">
      <c r="E57" s="448" t="s">
        <v>91</v>
      </c>
      <c r="F57" s="448"/>
      <c r="G57" s="207">
        <f>+SUM(SUMIF($G$21:$G$34, "Jumbo*", $J$21:$J$34))/SUMPRODUCT((LEFT(G21:G34, 5)="Jumbo") / (COUNTIF(G21:G34, G21:G34 &amp; "") + (G21:G34="")))</f>
        <v>0.13020833333333331</v>
      </c>
      <c r="H57" s="220">
        <f>+G57*24/($G$55*24)</f>
        <v>0.62499999999999989</v>
      </c>
      <c r="I57" s="190"/>
      <c r="J57" s="190"/>
    </row>
    <row r="58" spans="2:13" ht="38" customHeight="1" x14ac:dyDescent="0.3">
      <c r="E58" s="448" t="s">
        <v>92</v>
      </c>
      <c r="F58" s="448"/>
      <c r="G58" s="221">
        <f>+SUM(V21:V34)/D55</f>
        <v>195.7</v>
      </c>
      <c r="H58" s="220">
        <f>+G58/G56</f>
        <v>0.78279999999999994</v>
      </c>
      <c r="I58" s="190"/>
      <c r="J58" s="190"/>
    </row>
    <row r="59" spans="2:13" ht="38" customHeight="1" x14ac:dyDescent="0.3">
      <c r="G59" s="222" t="s">
        <v>87</v>
      </c>
      <c r="H59" s="139" t="s">
        <v>23</v>
      </c>
    </row>
    <row r="60" spans="2:13" ht="20" customHeight="1" x14ac:dyDescent="0.3">
      <c r="F60" s="208" t="s">
        <v>65</v>
      </c>
      <c r="G60" s="221">
        <f t="shared" ref="G60:G65" si="11" xml:space="preserve"> SUMIF($G$21:$G$34, +F60,$V$21:$V$34)</f>
        <v>0</v>
      </c>
      <c r="H60" s="220">
        <f t="shared" ref="H60:H65" si="12">+G60/$G$56</f>
        <v>0</v>
      </c>
    </row>
    <row r="61" spans="2:13" ht="20" customHeight="1" x14ac:dyDescent="0.3">
      <c r="F61" s="208" t="s">
        <v>66</v>
      </c>
      <c r="G61" s="221">
        <f t="shared" si="11"/>
        <v>0</v>
      </c>
      <c r="H61" s="220">
        <f t="shared" si="12"/>
        <v>0</v>
      </c>
    </row>
    <row r="62" spans="2:13" ht="20" customHeight="1" x14ac:dyDescent="0.3">
      <c r="F62" s="208" t="s">
        <v>67</v>
      </c>
      <c r="G62" s="221">
        <f t="shared" si="11"/>
        <v>0</v>
      </c>
      <c r="H62" s="220">
        <f t="shared" si="12"/>
        <v>0</v>
      </c>
    </row>
    <row r="63" spans="2:13" ht="20" customHeight="1" x14ac:dyDescent="0.3">
      <c r="F63" s="208" t="s">
        <v>68</v>
      </c>
      <c r="G63" s="221">
        <f t="shared" si="11"/>
        <v>0</v>
      </c>
      <c r="H63" s="220">
        <f t="shared" si="12"/>
        <v>0</v>
      </c>
    </row>
    <row r="64" spans="2:13" ht="20" customHeight="1" x14ac:dyDescent="0.3">
      <c r="F64" s="208" t="s">
        <v>69</v>
      </c>
      <c r="G64" s="221">
        <f t="shared" si="11"/>
        <v>0</v>
      </c>
      <c r="H64" s="220">
        <f t="shared" si="12"/>
        <v>0</v>
      </c>
    </row>
    <row r="65" spans="2:10" ht="20" customHeight="1" x14ac:dyDescent="0.3">
      <c r="F65" s="208" t="s">
        <v>70</v>
      </c>
      <c r="G65" s="221">
        <f t="shared" si="11"/>
        <v>0</v>
      </c>
      <c r="H65" s="220">
        <f t="shared" si="12"/>
        <v>0</v>
      </c>
    </row>
    <row r="66" spans="2:10" ht="20" customHeight="1" x14ac:dyDescent="0.3">
      <c r="F66" s="208" t="s">
        <v>146</v>
      </c>
      <c r="G66" s="223">
        <f>+SUM(G60:G65)</f>
        <v>0</v>
      </c>
      <c r="H66" s="220">
        <f>+G66/($G$56*$D$55)</f>
        <v>0</v>
      </c>
    </row>
    <row r="67" spans="2:10" ht="13.5" thickBot="1" x14ac:dyDescent="0.35"/>
    <row r="68" spans="2:10" ht="30" customHeight="1" thickBot="1" x14ac:dyDescent="0.35">
      <c r="B68" s="191"/>
      <c r="C68" s="446" t="s">
        <v>107</v>
      </c>
      <c r="D68" s="446"/>
      <c r="E68" s="192"/>
      <c r="F68" s="192"/>
      <c r="G68" s="192"/>
      <c r="H68" s="192"/>
      <c r="I68" s="216"/>
      <c r="J68" s="193"/>
    </row>
    <row r="69" spans="2:10" ht="38" customHeight="1" x14ac:dyDescent="0.3">
      <c r="C69" s="208" t="s">
        <v>95</v>
      </c>
      <c r="D69" s="195">
        <f>SUMPRODUCT((LEFT(G21:G34, 5)="Scoop") / (COUNTIF(G21:G34, G21:G34 &amp; "") + (G21:G34="")))</f>
        <v>1</v>
      </c>
      <c r="E69" s="447" t="s">
        <v>90</v>
      </c>
      <c r="F69" s="447"/>
      <c r="G69" s="218">
        <v>0.20833333333333334</v>
      </c>
      <c r="I69" s="139"/>
      <c r="J69" s="190"/>
    </row>
    <row r="70" spans="2:10" ht="38" customHeight="1" x14ac:dyDescent="0.3">
      <c r="C70" s="208" t="s">
        <v>145</v>
      </c>
      <c r="D70" s="195">
        <v>4.9000000000000004</v>
      </c>
      <c r="E70" s="447" t="s">
        <v>97</v>
      </c>
      <c r="F70" s="447"/>
      <c r="G70" s="195">
        <f>15000/(60)</f>
        <v>250</v>
      </c>
      <c r="H70" s="219" t="s">
        <v>23</v>
      </c>
      <c r="I70" s="139"/>
      <c r="J70" s="190"/>
    </row>
    <row r="71" spans="2:10" ht="38" customHeight="1" x14ac:dyDescent="0.3">
      <c r="E71" s="448" t="s">
        <v>98</v>
      </c>
      <c r="F71" s="448"/>
      <c r="G71" s="207">
        <f>+SUM(SUMIF($G$21:$G$34, "Scoop*", $J$21:$J$34))/SUMPRODUCT((LEFT(G21:G34, 5)="Scoop") / (COUNTIF(G21:G34, G21:G34 &amp; "") + (G21:G34="")))</f>
        <v>0.28472222222222221</v>
      </c>
      <c r="H71" s="220">
        <f>+G71*24/($G$69*24)</f>
        <v>1.3666666666666667</v>
      </c>
      <c r="I71" s="190"/>
      <c r="J71" s="190"/>
    </row>
    <row r="72" spans="2:10" ht="38" customHeight="1" x14ac:dyDescent="0.3">
      <c r="E72" s="448" t="s">
        <v>99</v>
      </c>
      <c r="F72" s="448"/>
      <c r="G72" s="221">
        <f>+SUM(W21:W34)*D70/D69</f>
        <v>0</v>
      </c>
      <c r="H72" s="220">
        <f>+G72/G70</f>
        <v>0</v>
      </c>
      <c r="I72" s="190"/>
      <c r="J72" s="190"/>
    </row>
    <row r="73" spans="2:10" ht="38" customHeight="1" x14ac:dyDescent="0.3">
      <c r="G73" s="222" t="s">
        <v>96</v>
      </c>
      <c r="H73" s="139" t="s">
        <v>23</v>
      </c>
    </row>
    <row r="74" spans="2:10" ht="20" customHeight="1" x14ac:dyDescent="0.3">
      <c r="F74" s="208" t="s">
        <v>71</v>
      </c>
      <c r="G74" s="221">
        <f t="shared" ref="G74:G79" si="13" xml:space="preserve"> SUMIF($G$21:$G$34, +F74,$W$21:$W$34)*$D$70</f>
        <v>0</v>
      </c>
      <c r="H74" s="220">
        <f>+G74/$G$70</f>
        <v>0</v>
      </c>
    </row>
    <row r="75" spans="2:10" ht="20" customHeight="1" x14ac:dyDescent="0.3">
      <c r="F75" s="208" t="s">
        <v>72</v>
      </c>
      <c r="G75" s="221">
        <f t="shared" si="13"/>
        <v>0</v>
      </c>
      <c r="H75" s="220">
        <f t="shared" ref="H75:H80" si="14">+G75/$G$70</f>
        <v>0</v>
      </c>
    </row>
    <row r="76" spans="2:10" ht="20" customHeight="1" x14ac:dyDescent="0.3">
      <c r="F76" s="208" t="s">
        <v>73</v>
      </c>
      <c r="G76" s="221">
        <f t="shared" si="13"/>
        <v>0</v>
      </c>
      <c r="H76" s="220">
        <f t="shared" si="14"/>
        <v>0</v>
      </c>
    </row>
    <row r="77" spans="2:10" ht="20" customHeight="1" x14ac:dyDescent="0.3">
      <c r="F77" s="208" t="s">
        <v>74</v>
      </c>
      <c r="G77" s="221">
        <f t="shared" si="13"/>
        <v>0</v>
      </c>
      <c r="H77" s="220">
        <f t="shared" si="14"/>
        <v>0</v>
      </c>
    </row>
    <row r="78" spans="2:10" ht="20" customHeight="1" x14ac:dyDescent="0.3">
      <c r="F78" s="208" t="s">
        <v>75</v>
      </c>
      <c r="G78" s="221">
        <f t="shared" si="13"/>
        <v>0</v>
      </c>
      <c r="H78" s="220">
        <f t="shared" si="14"/>
        <v>0</v>
      </c>
    </row>
    <row r="79" spans="2:10" ht="20" customHeight="1" x14ac:dyDescent="0.3">
      <c r="F79" s="208" t="s">
        <v>76</v>
      </c>
      <c r="G79" s="221">
        <f t="shared" si="13"/>
        <v>0</v>
      </c>
      <c r="H79" s="220">
        <f t="shared" si="14"/>
        <v>0</v>
      </c>
    </row>
    <row r="80" spans="2:10" ht="20" customHeight="1" x14ac:dyDescent="0.3">
      <c r="F80" s="208" t="s">
        <v>146</v>
      </c>
      <c r="G80" s="223">
        <f>+SUM(G74:G79)</f>
        <v>0</v>
      </c>
      <c r="H80" s="220">
        <f t="shared" si="14"/>
        <v>0</v>
      </c>
    </row>
    <row r="81" spans="2:10" ht="13.5" thickBot="1" x14ac:dyDescent="0.35"/>
    <row r="82" spans="2:10" ht="30" customHeight="1" thickBot="1" x14ac:dyDescent="0.35">
      <c r="B82" s="191"/>
      <c r="C82" s="446" t="s">
        <v>149</v>
      </c>
      <c r="D82" s="446"/>
      <c r="E82" s="192"/>
      <c r="F82" s="192"/>
      <c r="G82" s="192"/>
      <c r="H82" s="192"/>
      <c r="I82" s="216"/>
      <c r="J82" s="193"/>
    </row>
    <row r="83" spans="2:10" ht="25.25" customHeight="1" x14ac:dyDescent="0.3">
      <c r="C83" s="208" t="s">
        <v>150</v>
      </c>
      <c r="D83" s="195">
        <f>SUMPRODUCT((LEFT(G21:G34, 8)="Roboshot") / (COUNTIF(G21:G34, G21:G34 &amp; "") + (G21:G34="")))</f>
        <v>0</v>
      </c>
      <c r="E83" s="447" t="s">
        <v>90</v>
      </c>
      <c r="F83" s="447"/>
      <c r="G83" s="218">
        <v>0.20833333333333334</v>
      </c>
    </row>
    <row r="84" spans="2:10" x14ac:dyDescent="0.3">
      <c r="C84" s="208"/>
      <c r="D84" s="195"/>
      <c r="E84" s="447" t="s">
        <v>97</v>
      </c>
      <c r="F84" s="447"/>
      <c r="G84" s="195">
        <v>12</v>
      </c>
      <c r="H84" s="219" t="s">
        <v>23</v>
      </c>
    </row>
    <row r="86" spans="2:10" x14ac:dyDescent="0.3">
      <c r="G86" s="222" t="s">
        <v>96</v>
      </c>
      <c r="H86" s="139" t="s">
        <v>23</v>
      </c>
    </row>
    <row r="87" spans="2:10" x14ac:dyDescent="0.3">
      <c r="F87" s="208" t="s">
        <v>77</v>
      </c>
      <c r="G87" s="221">
        <f xml:space="preserve"> SUMIF($G$21:$G$34, +F87,$X$21:$X$34)</f>
        <v>0</v>
      </c>
      <c r="H87" s="220">
        <f>+G87/$G$84</f>
        <v>0</v>
      </c>
    </row>
    <row r="88" spans="2:10" x14ac:dyDescent="0.3">
      <c r="F88" s="208" t="s">
        <v>78</v>
      </c>
      <c r="G88" s="221">
        <f xml:space="preserve"> SUMIF($G$21:$G$34, +F88,$X$21:$X$34)</f>
        <v>0</v>
      </c>
      <c r="H88" s="220">
        <f t="shared" ref="H88:H89" si="15">+G88/$G$84</f>
        <v>0</v>
      </c>
    </row>
    <row r="89" spans="2:10" x14ac:dyDescent="0.3">
      <c r="F89" s="208" t="s">
        <v>79</v>
      </c>
      <c r="G89" s="221">
        <f xml:space="preserve"> SUMIF($G$21:$G$34, +F89,$X$21:$X$34)</f>
        <v>0</v>
      </c>
      <c r="H89" s="220">
        <f t="shared" si="15"/>
        <v>0</v>
      </c>
    </row>
    <row r="90" spans="2:10" x14ac:dyDescent="0.3">
      <c r="F90" s="208" t="s">
        <v>146</v>
      </c>
      <c r="G90" s="223">
        <f>+SUM(G87:G89)</f>
        <v>0</v>
      </c>
      <c r="H90" s="220">
        <f>+G90/$G$84</f>
        <v>0</v>
      </c>
    </row>
  </sheetData>
  <mergeCells count="38">
    <mergeCell ref="E83:F83"/>
    <mergeCell ref="E84:F84"/>
    <mergeCell ref="C68:D68"/>
    <mergeCell ref="E69:F69"/>
    <mergeCell ref="E71:F71"/>
    <mergeCell ref="E72:F72"/>
    <mergeCell ref="C82:D82"/>
    <mergeCell ref="E70:F70"/>
    <mergeCell ref="E57:F57"/>
    <mergeCell ref="E58:F58"/>
    <mergeCell ref="C54:D54"/>
    <mergeCell ref="E55:F55"/>
    <mergeCell ref="E39:F39"/>
    <mergeCell ref="E40:F40"/>
    <mergeCell ref="E41:F41"/>
    <mergeCell ref="E44:G44"/>
    <mergeCell ref="E45:G45"/>
    <mergeCell ref="E46:G46"/>
    <mergeCell ref="E48:G48"/>
    <mergeCell ref="E49:G49"/>
    <mergeCell ref="E50:G50"/>
    <mergeCell ref="E52:G52"/>
    <mergeCell ref="E56:F56"/>
    <mergeCell ref="C38:D38"/>
    <mergeCell ref="G38:H38"/>
    <mergeCell ref="I38:J38"/>
    <mergeCell ref="K38:L38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40:H41 J40:J41">
    <cfRule type="cellIs" dxfId="881" priority="13" operator="greaterThan">
      <formula>0.9</formula>
    </cfRule>
    <cfRule type="cellIs" dxfId="880" priority="14" operator="between">
      <formula>0.81</formula>
      <formula>0.89</formula>
    </cfRule>
    <cfRule type="cellIs" dxfId="879" priority="15" operator="lessThan">
      <formula>0.8</formula>
    </cfRule>
  </conditionalFormatting>
  <conditionalFormatting sqref="H57:H58">
    <cfRule type="cellIs" dxfId="878" priority="16" operator="greaterThan">
      <formula>0.9</formula>
    </cfRule>
    <cfRule type="cellIs" dxfId="877" priority="17" operator="between">
      <formula>0.81</formula>
      <formula>0.89</formula>
    </cfRule>
    <cfRule type="cellIs" dxfId="876" priority="18" operator="lessThan">
      <formula>0.8</formula>
    </cfRule>
  </conditionalFormatting>
  <conditionalFormatting sqref="H60:H66">
    <cfRule type="cellIs" dxfId="875" priority="19" operator="greaterThan">
      <formula>0.9</formula>
    </cfRule>
    <cfRule type="cellIs" dxfId="874" priority="20" operator="between">
      <formula>0.81</formula>
      <formula>0.89</formula>
    </cfRule>
    <cfRule type="cellIs" dxfId="873" priority="21" operator="lessThan">
      <formula>0.8</formula>
    </cfRule>
  </conditionalFormatting>
  <conditionalFormatting sqref="H71:H72">
    <cfRule type="cellIs" dxfId="872" priority="7" operator="greaterThan">
      <formula>0.9</formula>
    </cfRule>
    <cfRule type="cellIs" dxfId="871" priority="8" operator="between">
      <formula>0.81</formula>
      <formula>0.89</formula>
    </cfRule>
    <cfRule type="cellIs" dxfId="870" priority="9" operator="lessThan">
      <formula>0.8</formula>
    </cfRule>
  </conditionalFormatting>
  <conditionalFormatting sqref="H74:H80">
    <cfRule type="cellIs" dxfId="869" priority="10" operator="greaterThan">
      <formula>0.9</formula>
    </cfRule>
    <cfRule type="cellIs" dxfId="868" priority="11" operator="between">
      <formula>0.81</formula>
      <formula>0.89</formula>
    </cfRule>
    <cfRule type="cellIs" dxfId="867" priority="12" operator="lessThan">
      <formula>0.8</formula>
    </cfRule>
  </conditionalFormatting>
  <conditionalFormatting sqref="H87:H90">
    <cfRule type="cellIs" dxfId="866" priority="4" operator="greaterThan">
      <formula>0.9</formula>
    </cfRule>
    <cfRule type="cellIs" dxfId="865" priority="5" operator="between">
      <formula>0.81</formula>
      <formula>0.89</formula>
    </cfRule>
    <cfRule type="cellIs" dxfId="864" priority="6" operator="lessThan">
      <formula>0.8</formula>
    </cfRule>
  </conditionalFormatting>
  <conditionalFormatting sqref="L40:L41">
    <cfRule type="cellIs" dxfId="863" priority="1" operator="greaterThan">
      <formula>0.9</formula>
    </cfRule>
    <cfRule type="cellIs" dxfId="862" priority="2" operator="between">
      <formula>0.81</formula>
      <formula>0.89</formula>
    </cfRule>
    <cfRule type="cellIs" dxfId="861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77F83E2-86A7-4F85-8E20-4588BDAC4361}">
          <x14:formula1>
            <xm:f>Datos!$B$3:$B$8</xm:f>
          </x14:formula1>
          <xm:sqref>E21:E27 E30:E36</xm:sqref>
        </x14:dataValidation>
        <x14:dataValidation type="list" allowBlank="1" showInputMessage="1" showErrorMessage="1" xr:uid="{2FE30A6C-3E28-4167-9672-29883783BBB5}">
          <x14:formula1>
            <xm:f>Datos!$D$3:$D$27</xm:f>
          </x14:formula1>
          <xm:sqref>F21:F27 F30:F36</xm:sqref>
        </x14:dataValidation>
        <x14:dataValidation type="list" allowBlank="1" showInputMessage="1" showErrorMessage="1" xr:uid="{D427FDEC-D77C-4DB1-8DE9-BB9119AC18D1}">
          <x14:formula1>
            <xm:f>Datos!$W$3:$W$12</xm:f>
          </x14:formula1>
          <xm:sqref>L21:L27 L30:L36</xm:sqref>
        </x14:dataValidation>
        <x14:dataValidation type="list" allowBlank="1" showInputMessage="1" showErrorMessage="1" xr:uid="{737A8BB3-ED47-4070-8CF3-0D7434E748F3}">
          <x14:formula1>
            <xm:f>Datos!$F$3:$F$41</xm:f>
          </x14:formula1>
          <xm:sqref>G30:G36 G21:G27</xm:sqref>
        </x14:dataValidation>
        <x14:dataValidation type="list" allowBlank="1" showInputMessage="1" showErrorMessage="1" xr:uid="{763C7888-7B45-4767-A84C-FF8E839F5D7D}">
          <x14:formula1>
            <xm:f>Datos!$H$3:$H$26</xm:f>
          </x14:formula1>
          <xm:sqref>D34:D36 D27</xm:sqref>
        </x14:dataValidation>
        <x14:dataValidation type="list" allowBlank="1" showInputMessage="1" showErrorMessage="1" xr:uid="{CF702FFE-B8B7-4830-ACD6-27EED7F26FDD}">
          <x14:formula1>
            <xm:f>Datos!$H$3:$H$34</xm:f>
          </x14:formula1>
          <xm:sqref>D21:D26 D30:D33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A595-D51E-4066-9DC1-31CD1BD39F8A}">
  <sheetPr>
    <pageSetUpPr fitToPage="1"/>
  </sheetPr>
  <dimension ref="B1:X90"/>
  <sheetViews>
    <sheetView showGridLines="0" topLeftCell="A19" zoomScale="85" zoomScaleNormal="85" zoomScaleSheetLayoutView="50" workbookViewId="0">
      <pane xSplit="3" ySplit="2" topLeftCell="D41" activePane="bottomRight" state="frozen"/>
      <selection activeCell="M54" sqref="M54"/>
      <selection pane="topRight" activeCell="M54" sqref="M54"/>
      <selection pane="bottomLeft" activeCell="M54" sqref="M54"/>
      <selection pane="bottomRight" activeCell="M54" sqref="M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18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+G40</f>
        <v>0.60416666666666674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+H41</f>
        <v>0.67999999999999994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+G66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+G80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+G90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63</v>
      </c>
      <c r="E21" s="172" t="s">
        <v>6</v>
      </c>
      <c r="F21" s="172" t="s">
        <v>167</v>
      </c>
      <c r="G21" s="172" t="s">
        <v>203</v>
      </c>
      <c r="H21" s="174">
        <v>0.88888888888888884</v>
      </c>
      <c r="I21" s="174">
        <v>0.9375</v>
      </c>
      <c r="J21" s="175">
        <f t="shared" ref="J21:J25" si="0">MOD(I21-H21, 1)</f>
        <v>4.861111111111116E-2</v>
      </c>
      <c r="K21" s="178"/>
      <c r="L21" s="177"/>
      <c r="M21" s="178"/>
      <c r="N21" s="179">
        <v>0</v>
      </c>
      <c r="O21" s="225" t="s">
        <v>335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>
        <f>IF(OR(D21="Perforación de Fortificación", D21="Perforación de Avance", D21="Perforación Desquinche"), K21*M21, "")</f>
        <v>0</v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63</v>
      </c>
      <c r="E22" s="172" t="s">
        <v>6</v>
      </c>
      <c r="F22" s="172" t="s">
        <v>167</v>
      </c>
      <c r="G22" s="172" t="s">
        <v>203</v>
      </c>
      <c r="H22" s="174">
        <v>0.9375</v>
      </c>
      <c r="I22" s="174">
        <v>8.3333333333333329E-2</v>
      </c>
      <c r="J22" s="175">
        <f t="shared" si="0"/>
        <v>0.14583333333333337</v>
      </c>
      <c r="K22" s="178">
        <v>84</v>
      </c>
      <c r="L22" s="177" t="s">
        <v>138</v>
      </c>
      <c r="M22" s="178">
        <v>3.8</v>
      </c>
      <c r="N22" s="179">
        <v>0.4</v>
      </c>
      <c r="O22" s="186" t="s">
        <v>336</v>
      </c>
      <c r="P22" s="181"/>
      <c r="Q22" s="174"/>
      <c r="R22" s="172"/>
      <c r="S22" s="175">
        <f t="shared" ref="S22:S27" si="1">+MOD(R22-Q22,1)</f>
        <v>0</v>
      </c>
      <c r="U22" s="182">
        <f>+IFERROR(VLOOKUP(D22,Datos!$R$3:$T$19,3,FALSE), "0")*N22</f>
        <v>5.4078722190530518E-2</v>
      </c>
      <c r="V22" s="183">
        <f t="shared" ref="V22:V27" si="2">IF(OR(D22="Perforación de Fortificación", D22="Perforación de Avance", D22="Perforación Desquinche"), K22*M22, "")</f>
        <v>319.2</v>
      </c>
      <c r="W22" s="183" t="str">
        <f t="shared" ref="W22:W27" si="3">IF(D22="Extracción de Marina Disparo",K22,"")</f>
        <v/>
      </c>
      <c r="X22" s="183" t="str">
        <f t="shared" ref="X22:X27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59</v>
      </c>
      <c r="E23" s="172" t="s">
        <v>6</v>
      </c>
      <c r="F23" s="172" t="s">
        <v>167</v>
      </c>
      <c r="G23" s="172" t="s">
        <v>213</v>
      </c>
      <c r="H23" s="174">
        <v>8.3333333333333329E-2</v>
      </c>
      <c r="I23" s="174">
        <v>0.10069444444444445</v>
      </c>
      <c r="J23" s="175">
        <f t="shared" si="0"/>
        <v>1.7361111111111119E-2</v>
      </c>
      <c r="K23" s="178"/>
      <c r="L23" s="177"/>
      <c r="M23" s="178"/>
      <c r="N23" s="179">
        <v>1</v>
      </c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5.7045065601825425E-3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227</v>
      </c>
      <c r="E24" s="172" t="s">
        <v>6</v>
      </c>
      <c r="F24" s="172" t="s">
        <v>167</v>
      </c>
      <c r="G24" s="172" t="s">
        <v>211</v>
      </c>
      <c r="H24" s="174">
        <v>0.10416666666666667</v>
      </c>
      <c r="I24" s="174">
        <v>0.31944444444444442</v>
      </c>
      <c r="J24" s="175">
        <f>MOD(I24-H24, 1)</f>
        <v>0.21527777777777773</v>
      </c>
      <c r="K24" s="178">
        <v>184</v>
      </c>
      <c r="L24" s="177" t="s">
        <v>129</v>
      </c>
      <c r="M24" s="178">
        <v>3.8</v>
      </c>
      <c r="N24" s="179">
        <v>1</v>
      </c>
      <c r="O24" s="225"/>
      <c r="P24" s="181"/>
      <c r="Q24" s="172"/>
      <c r="R24" s="172"/>
      <c r="S24" s="175">
        <f>+MOD(R24-Q24,1)</f>
        <v>0</v>
      </c>
      <c r="U24" s="182">
        <f>+IFERROR(VLOOKUP(D24,Datos!$R$3:$T$19,3,FALSE), "0")*N24</f>
        <v>8.3285795778665142E-2</v>
      </c>
      <c r="V24" s="183" t="str">
        <f>IF(OR(D24="Perforación de Fortificación", D24="Perforación de Avance", D24="Perforación Desquinche"), K24*M24, "")</f>
        <v/>
      </c>
      <c r="W24" s="183" t="str">
        <f>IF(D24="Extracción de Marina Disparo",K24,"")</f>
        <v/>
      </c>
      <c r="X24" s="183" t="str">
        <f>IF(OR(D24="Shotcrete", D24="Pre Shotcrete"), K24, "")</f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105</v>
      </c>
      <c r="E25" s="172" t="s">
        <v>6</v>
      </c>
      <c r="F25" s="172" t="s">
        <v>167</v>
      </c>
      <c r="G25" s="172" t="s">
        <v>204</v>
      </c>
      <c r="H25" s="174">
        <v>0.90625</v>
      </c>
      <c r="I25" s="174">
        <v>8.3333333333333329E-2</v>
      </c>
      <c r="J25" s="175">
        <f t="shared" si="0"/>
        <v>0.17708333333333337</v>
      </c>
      <c r="K25" s="178">
        <v>42</v>
      </c>
      <c r="L25" s="177" t="s">
        <v>128</v>
      </c>
      <c r="M25" s="178"/>
      <c r="N25" s="179">
        <v>1</v>
      </c>
      <c r="O25" s="186" t="s">
        <v>340</v>
      </c>
      <c r="P25" s="181"/>
      <c r="Q25" s="174"/>
      <c r="R25" s="174"/>
      <c r="S25" s="175"/>
      <c r="U25" s="182"/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7.75" customHeight="1" x14ac:dyDescent="0.3">
      <c r="B26" s="172">
        <v>3500</v>
      </c>
      <c r="C26" s="173" t="s">
        <v>154</v>
      </c>
      <c r="D26" s="173"/>
      <c r="E26" s="172"/>
      <c r="F26" s="172"/>
      <c r="G26" s="172"/>
      <c r="H26" s="174"/>
      <c r="I26" s="174"/>
      <c r="J26" s="175"/>
      <c r="K26" s="178"/>
      <c r="L26" s="177"/>
      <c r="M26" s="178"/>
      <c r="N26" s="179"/>
      <c r="O26" s="225"/>
      <c r="P26" s="181"/>
      <c r="Q26" s="172"/>
      <c r="R26" s="172"/>
      <c r="S26" s="175">
        <f t="shared" si="1"/>
        <v>0</v>
      </c>
      <c r="U26" s="182"/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MOD(I24-H21, 1)</f>
        <v>0.43055555555555558</v>
      </c>
      <c r="K27" s="178"/>
      <c r="L27" s="177"/>
      <c r="M27" s="178"/>
      <c r="N27" s="179"/>
      <c r="O27" s="186" t="s">
        <v>337</v>
      </c>
      <c r="P27" s="172"/>
      <c r="Q27" s="172"/>
      <c r="R27" s="172"/>
      <c r="S27" s="175">
        <f t="shared" si="1"/>
        <v>0</v>
      </c>
      <c r="U27" s="182">
        <f>SUM(U21:U26)</f>
        <v>0.1430690245293782</v>
      </c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+Datos!R23</f>
        <v>Ciclo Minero 5,2 x 5,6 m
Galería Acceso Portal de Servicio</v>
      </c>
      <c r="D30" s="173" t="s">
        <v>63</v>
      </c>
      <c r="E30" s="172" t="s">
        <v>6</v>
      </c>
      <c r="F30" s="172" t="s">
        <v>168</v>
      </c>
      <c r="G30" s="172" t="s">
        <v>202</v>
      </c>
      <c r="H30" s="174">
        <v>0.89583333333333337</v>
      </c>
      <c r="I30" s="174">
        <v>6.9444444444444441E-3</v>
      </c>
      <c r="J30" s="175">
        <f t="shared" ref="J30:J33" si="5">MOD(I30-H30, 1)</f>
        <v>0.11111111111111105</v>
      </c>
      <c r="K30" s="178"/>
      <c r="L30" s="177"/>
      <c r="M30" s="178"/>
      <c r="N30" s="179">
        <v>0</v>
      </c>
      <c r="O30" s="186"/>
      <c r="P30" s="173" t="s">
        <v>339</v>
      </c>
      <c r="Q30" s="174"/>
      <c r="R30" s="174"/>
      <c r="S30" s="175">
        <f t="shared" ref="S30" si="6">MOD(R30-Q30, 1)</f>
        <v>0</v>
      </c>
      <c r="U30" s="187">
        <f>+IFERROR(VLOOKUP(D30,Datos!$R$24:$T$40,3,FALSE), "0")*N30</f>
        <v>0</v>
      </c>
      <c r="V30" s="183">
        <f t="shared" ref="V30:V36" si="7">IF(OR(D30="Perforación de Fortificación", D30="Perforación de Avance", D30="Perforación Desquinche"), K30*M30, "")</f>
        <v>0</v>
      </c>
      <c r="W30" s="183" t="str">
        <f>IF(D30="Extracción de Marina Disparo",K30,"")</f>
        <v/>
      </c>
      <c r="X30" s="183" t="str">
        <f t="shared" ref="X30:X36" si="8">IF(OR(D30="Shotcrete", D30="Pre Shotcrete"), K30, "")</f>
        <v/>
      </c>
    </row>
    <row r="31" spans="2:24" ht="53.4" customHeight="1" x14ac:dyDescent="0.3">
      <c r="B31" s="172">
        <v>3700</v>
      </c>
      <c r="C31" s="173" t="str">
        <f>+C30</f>
        <v>Ciclo Minero 5,2 x 5,6 m
Galería Acceso Portal de Servicio</v>
      </c>
      <c r="D31" s="173" t="s">
        <v>63</v>
      </c>
      <c r="E31" s="172" t="s">
        <v>6</v>
      </c>
      <c r="F31" s="172" t="s">
        <v>168</v>
      </c>
      <c r="G31" s="172" t="s">
        <v>202</v>
      </c>
      <c r="H31" s="174">
        <v>6.9444444444444441E-3</v>
      </c>
      <c r="I31" s="174">
        <v>0.2013888888888889</v>
      </c>
      <c r="J31" s="175">
        <f t="shared" ref="J31:J32" si="9">MOD(I31-H31, 1)</f>
        <v>0.19444444444444445</v>
      </c>
      <c r="K31" s="178">
        <v>94</v>
      </c>
      <c r="L31" s="177" t="s">
        <v>138</v>
      </c>
      <c r="M31" s="178"/>
      <c r="N31" s="179">
        <v>0.88</v>
      </c>
      <c r="O31" s="186" t="s">
        <v>336</v>
      </c>
      <c r="P31" s="181"/>
      <c r="Q31" s="174"/>
      <c r="R31" s="174"/>
      <c r="S31" s="175">
        <f t="shared" ref="S31" si="10">MOD(R31-Q31, 1)</f>
        <v>0</v>
      </c>
      <c r="U31" s="187">
        <f>+IFERROR(VLOOKUP(D31,Datos!$R$24:$T$40,3,FALSE), "0")*N31</f>
        <v>0.11096774193548387</v>
      </c>
      <c r="V31" s="183">
        <f t="shared" ref="V31:V32" si="11">IF(OR(D31="Perforación de Fortificación", D31="Perforación de Avance", D31="Perforación Desquinche"), K31*M31, "")</f>
        <v>0</v>
      </c>
      <c r="W31" s="183" t="str">
        <f t="shared" ref="W31:W36" si="12">IF(D31="Extracción de Marina Disparo",K31,"")</f>
        <v/>
      </c>
      <c r="X31" s="183" t="str">
        <f t="shared" si="8"/>
        <v/>
      </c>
    </row>
    <row r="32" spans="2:24" ht="38" customHeight="1" x14ac:dyDescent="0.3">
      <c r="B32" s="172">
        <v>3700</v>
      </c>
      <c r="C32" s="173" t="str">
        <f>+C31</f>
        <v>Ciclo Minero 5,2 x 5,6 m
Galería Acceso Portal de Servicio</v>
      </c>
      <c r="D32" s="173" t="s">
        <v>288</v>
      </c>
      <c r="E32" s="172" t="s">
        <v>6</v>
      </c>
      <c r="F32" s="172" t="s">
        <v>168</v>
      </c>
      <c r="G32" s="172" t="s">
        <v>212</v>
      </c>
      <c r="H32" s="174">
        <v>0.89583333333333337</v>
      </c>
      <c r="I32" s="174">
        <v>0.95833333333333337</v>
      </c>
      <c r="J32" s="175">
        <f t="shared" si="9"/>
        <v>6.25E-2</v>
      </c>
      <c r="K32" s="178"/>
      <c r="L32" s="177"/>
      <c r="M32" s="178"/>
      <c r="N32" s="179">
        <v>1</v>
      </c>
      <c r="O32" s="225" t="s">
        <v>338</v>
      </c>
      <c r="P32" s="172"/>
      <c r="Q32" s="172"/>
      <c r="R32" s="172"/>
      <c r="S32" s="175">
        <f t="shared" ref="S32" si="13">+MOD(R32-Q32,1)</f>
        <v>0</v>
      </c>
      <c r="U32" s="187">
        <f>+IFERROR(VLOOKUP(D32,Datos!$R$24:$T$40,3,FALSE), "0")*N32</f>
        <v>0</v>
      </c>
      <c r="V32" s="183" t="str">
        <f t="shared" si="11"/>
        <v/>
      </c>
      <c r="W32" s="183" t="str">
        <f t="shared" si="12"/>
        <v/>
      </c>
      <c r="X32" s="183"/>
    </row>
    <row r="33" spans="2:24" ht="38" customHeight="1" x14ac:dyDescent="0.3">
      <c r="B33" s="172">
        <v>3700</v>
      </c>
      <c r="C33" s="173" t="str">
        <f>+C32</f>
        <v>Ciclo Minero 5,2 x 5,6 m
Galería Acceso Portal de Servicio</v>
      </c>
      <c r="D33" s="173"/>
      <c r="E33" s="172"/>
      <c r="F33" s="172"/>
      <c r="G33" s="172"/>
      <c r="H33" s="174"/>
      <c r="I33" s="174"/>
      <c r="J33" s="175">
        <f t="shared" si="5"/>
        <v>0</v>
      </c>
      <c r="K33" s="178"/>
      <c r="L33" s="177"/>
      <c r="M33" s="178"/>
      <c r="N33" s="179"/>
      <c r="O33" s="186" t="s">
        <v>331</v>
      </c>
      <c r="P33" s="181"/>
      <c r="Q33" s="174"/>
      <c r="R33" s="174"/>
      <c r="S33" s="175">
        <f t="shared" ref="S33:S36" si="14">+MOD(R33-Q33,1)</f>
        <v>0</v>
      </c>
      <c r="U33" s="182">
        <f>SUM(U30:U32)</f>
        <v>0.11096774193548387</v>
      </c>
      <c r="V33" s="183" t="str">
        <f t="shared" si="7"/>
        <v/>
      </c>
      <c r="W33" s="183" t="str">
        <f t="shared" si="12"/>
        <v/>
      </c>
      <c r="X33" s="183" t="str">
        <f t="shared" si="8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8"/>
      <c r="P34" s="172"/>
      <c r="Q34" s="172"/>
      <c r="R34" s="172"/>
      <c r="S34" s="175">
        <f t="shared" si="14"/>
        <v>0</v>
      </c>
      <c r="U34" s="187"/>
      <c r="V34" s="183" t="str">
        <f t="shared" si="7"/>
        <v/>
      </c>
      <c r="W34" s="183" t="str">
        <f t="shared" si="12"/>
        <v/>
      </c>
      <c r="X34" s="183" t="str">
        <f t="shared" si="8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2"/>
      <c r="J35" s="175"/>
      <c r="K35" s="178"/>
      <c r="L35" s="177"/>
      <c r="M35" s="178"/>
      <c r="N35" s="179"/>
      <c r="O35" s="188"/>
      <c r="P35" s="172"/>
      <c r="Q35" s="172"/>
      <c r="R35" s="172"/>
      <c r="S35" s="175">
        <f t="shared" si="14"/>
        <v>0</v>
      </c>
      <c r="U35" s="184"/>
      <c r="V35" s="183" t="str">
        <f t="shared" si="7"/>
        <v/>
      </c>
      <c r="W35" s="183" t="str">
        <f t="shared" si="12"/>
        <v/>
      </c>
      <c r="X35" s="183" t="str">
        <f t="shared" si="8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 t="s">
        <v>329</v>
      </c>
      <c r="J36" s="175">
        <f>SUM(J30:J33)</f>
        <v>0.36805555555555547</v>
      </c>
      <c r="K36" s="178"/>
      <c r="L36" s="177"/>
      <c r="M36" s="178"/>
      <c r="N36" s="179"/>
      <c r="O36" s="225"/>
      <c r="P36" s="172"/>
      <c r="Q36" s="172"/>
      <c r="R36" s="172"/>
      <c r="S36" s="175">
        <f t="shared" si="14"/>
        <v>0</v>
      </c>
      <c r="U36" s="189"/>
      <c r="V36" s="183" t="str">
        <f t="shared" si="7"/>
        <v/>
      </c>
      <c r="W36" s="183" t="str">
        <f t="shared" si="12"/>
        <v/>
      </c>
      <c r="X36" s="183" t="str">
        <f t="shared" si="8"/>
        <v/>
      </c>
    </row>
    <row r="37" spans="2:24" ht="15.65" customHeight="1" thickBot="1" x14ac:dyDescent="0.35">
      <c r="B37" s="190"/>
      <c r="C37" s="190"/>
      <c r="D37" s="190"/>
      <c r="E37" s="190"/>
      <c r="F37" s="190"/>
      <c r="G37" s="190"/>
      <c r="H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</row>
    <row r="38" spans="2:24" ht="30" customHeight="1" thickBot="1" x14ac:dyDescent="0.35">
      <c r="B38" s="191"/>
      <c r="C38" s="446" t="s">
        <v>64</v>
      </c>
      <c r="D38" s="446"/>
      <c r="E38" s="192"/>
      <c r="F38" s="192"/>
      <c r="G38" s="431">
        <v>3500</v>
      </c>
      <c r="H38" s="432"/>
      <c r="I38" s="431">
        <v>3700</v>
      </c>
      <c r="J38" s="432"/>
      <c r="K38" s="433" t="s">
        <v>146</v>
      </c>
      <c r="L38" s="434"/>
      <c r="M38" s="190"/>
      <c r="N38" s="190"/>
      <c r="O38" s="190"/>
      <c r="P38" s="190"/>
      <c r="Q38" s="190"/>
      <c r="R38" s="190"/>
      <c r="S38" s="190"/>
    </row>
    <row r="39" spans="2:24" ht="30" customHeight="1" x14ac:dyDescent="0.3">
      <c r="C39" s="194" t="s">
        <v>48</v>
      </c>
      <c r="D39" s="195">
        <f>SUMPRODUCT((LEFT(F21:F34, 1)="C") / (COUNTIF(F21:F34, F21:F34 &amp; "") + (F21:F34="")))</f>
        <v>0</v>
      </c>
      <c r="E39" s="447" t="s">
        <v>90</v>
      </c>
      <c r="F39" s="447"/>
      <c r="G39" s="196">
        <v>0.26041666666666669</v>
      </c>
      <c r="H39" s="197" t="s">
        <v>23</v>
      </c>
      <c r="I39" s="196">
        <v>0.26041666666666669</v>
      </c>
      <c r="J39" s="197" t="s">
        <v>23</v>
      </c>
      <c r="K39" s="198">
        <f>+G39</f>
        <v>0.26041666666666669</v>
      </c>
      <c r="L39" s="197" t="s">
        <v>23</v>
      </c>
      <c r="M39" s="190"/>
      <c r="N39" s="190"/>
      <c r="O39" s="190"/>
      <c r="P39" s="190"/>
      <c r="Q39" s="190"/>
      <c r="R39" s="190"/>
      <c r="S39" s="190"/>
    </row>
    <row r="40" spans="2:24" x14ac:dyDescent="0.3">
      <c r="C40" s="194" t="s">
        <v>49</v>
      </c>
      <c r="D40" s="195">
        <f>SUMPRODUCT((LEFT(F21:F34, 1)="O") / (COUNTIF(F21:F34, F21:F34 &amp; "") + (F21:F34="")))</f>
        <v>0</v>
      </c>
      <c r="E40" s="448" t="s">
        <v>198</v>
      </c>
      <c r="F40" s="448"/>
      <c r="G40" s="199">
        <f>SUM(J21:J26)</f>
        <v>0.60416666666666674</v>
      </c>
      <c r="H40" s="200">
        <f>+G40*24/($G$39*24)</f>
        <v>2.3200000000000003</v>
      </c>
      <c r="I40" s="199">
        <f>SUM(J30:J34)</f>
        <v>0.36805555555555547</v>
      </c>
      <c r="J40" s="200">
        <f>+I40*24/($I$39*24)</f>
        <v>1.4133333333333331</v>
      </c>
      <c r="K40" s="201">
        <f>AVERAGE(G40+I40)/2</f>
        <v>0.4861111111111111</v>
      </c>
      <c r="L40" s="200">
        <f>+K40*24/($K$39*24)</f>
        <v>1.8666666666666665</v>
      </c>
      <c r="M40" s="190"/>
      <c r="N40" s="190"/>
      <c r="O40" s="190"/>
      <c r="P40" s="190"/>
      <c r="Q40" s="190"/>
      <c r="R40" s="190"/>
      <c r="S40" s="190"/>
    </row>
    <row r="41" spans="2:24" ht="43.25" customHeight="1" thickBot="1" x14ac:dyDescent="0.35">
      <c r="E41" s="448" t="s">
        <v>94</v>
      </c>
      <c r="F41" s="448"/>
      <c r="G41" s="202"/>
      <c r="H41" s="203">
        <f>+AVERAGE(N21:N27)</f>
        <v>0.67999999999999994</v>
      </c>
      <c r="I41" s="202"/>
      <c r="J41" s="203">
        <f>+AVERAGE(N30:N34)</f>
        <v>0.62666666666666659</v>
      </c>
      <c r="K41" s="204"/>
      <c r="L41" s="203">
        <f>+AVERAGE(N21:N34)</f>
        <v>0.66</v>
      </c>
    </row>
    <row r="42" spans="2:24" ht="43.25" customHeight="1" x14ac:dyDescent="0.3">
      <c r="E42" s="205"/>
      <c r="F42" s="205"/>
      <c r="G42" s="206"/>
      <c r="H42" s="206"/>
      <c r="I42" s="137"/>
      <c r="J42" s="137"/>
      <c r="K42" s="137"/>
      <c r="L42" s="137"/>
    </row>
    <row r="43" spans="2:24" ht="43.25" customHeight="1" x14ac:dyDescent="0.3">
      <c r="E43" s="194"/>
      <c r="F43" s="194"/>
      <c r="G43" s="207"/>
      <c r="H43" s="208" t="s">
        <v>24</v>
      </c>
      <c r="I43" s="208" t="s">
        <v>199</v>
      </c>
      <c r="J43" s="208" t="s">
        <v>201</v>
      </c>
      <c r="K43" s="208" t="s">
        <v>258</v>
      </c>
      <c r="L43" s="345" t="s">
        <v>484</v>
      </c>
      <c r="M43" s="345" t="s">
        <v>485</v>
      </c>
      <c r="N43" s="208"/>
    </row>
    <row r="44" spans="2:24" ht="14.5" x14ac:dyDescent="0.35">
      <c r="E44" s="445" t="s">
        <v>174</v>
      </c>
      <c r="F44" s="445"/>
      <c r="G44" s="445"/>
      <c r="H44" s="209">
        <f>+U33</f>
        <v>0.11096774193548387</v>
      </c>
      <c r="I44" s="210">
        <f>+H44*$J$44*$K$44</f>
        <v>2.5047638709677416</v>
      </c>
      <c r="J44" s="211">
        <v>6.6</v>
      </c>
      <c r="K44" s="246">
        <v>3.42</v>
      </c>
      <c r="L44" s="344">
        <v>56.080975609756102</v>
      </c>
      <c r="M44" s="344">
        <f>+L44*K44*H44</f>
        <v>21.283272963021243</v>
      </c>
    </row>
    <row r="45" spans="2:24" ht="14.4" customHeight="1" x14ac:dyDescent="0.35">
      <c r="E45" s="445" t="s">
        <v>224</v>
      </c>
      <c r="F45" s="445"/>
      <c r="G45" s="445"/>
      <c r="H45" s="209"/>
      <c r="I45" s="210">
        <f>+J45*K45</f>
        <v>0</v>
      </c>
      <c r="J45" s="214">
        <f>1892/1000000</f>
        <v>1.892E-3</v>
      </c>
      <c r="K45" s="246">
        <f>+((15*4.4)*2.72)*0</f>
        <v>0</v>
      </c>
      <c r="L45" s="346">
        <v>1.6919982016368774E-2</v>
      </c>
      <c r="M45" s="344">
        <f>+L45*K45</f>
        <v>0</v>
      </c>
    </row>
    <row r="46" spans="2:24" ht="14.4" customHeight="1" x14ac:dyDescent="0.35">
      <c r="E46" s="445" t="s">
        <v>298</v>
      </c>
      <c r="F46" s="445"/>
      <c r="G46" s="445"/>
      <c r="H46" s="209"/>
      <c r="I46" s="210">
        <f>SUM(I44:I45)</f>
        <v>2.5047638709677416</v>
      </c>
      <c r="J46" s="214"/>
      <c r="K46" s="246"/>
      <c r="L46" s="346"/>
      <c r="M46" s="344"/>
    </row>
    <row r="47" spans="2:24" ht="14.4" customHeight="1" x14ac:dyDescent="0.35">
      <c r="E47" s="227"/>
      <c r="F47" s="227"/>
      <c r="G47" s="227"/>
      <c r="H47" s="209"/>
      <c r="I47" s="210"/>
      <c r="J47" s="214"/>
      <c r="K47" s="246"/>
      <c r="L47" s="346"/>
      <c r="M47" s="344"/>
    </row>
    <row r="48" spans="2:24" ht="14.4" customHeight="1" x14ac:dyDescent="0.35">
      <c r="E48" s="445" t="s">
        <v>175</v>
      </c>
      <c r="F48" s="445"/>
      <c r="G48" s="445"/>
      <c r="H48" s="209">
        <f>+U27</f>
        <v>0.1430690245293782</v>
      </c>
      <c r="I48" s="210">
        <f>+H48*$J$48*$K$48</f>
        <v>5.7736935539075871</v>
      </c>
      <c r="J48" s="211">
        <v>11.8</v>
      </c>
      <c r="K48" s="246">
        <v>3.42</v>
      </c>
      <c r="L48" s="344">
        <v>118.52055555555555</v>
      </c>
      <c r="M48" s="344">
        <f>+L48*K48*H48</f>
        <v>57.991641323445513</v>
      </c>
    </row>
    <row r="49" spans="2:13" ht="14.4" customHeight="1" x14ac:dyDescent="0.35">
      <c r="E49" s="445" t="s">
        <v>225</v>
      </c>
      <c r="F49" s="445"/>
      <c r="G49" s="445"/>
      <c r="H49" s="209"/>
      <c r="I49" s="210">
        <f>+J49*K49</f>
        <v>0</v>
      </c>
      <c r="J49" s="214">
        <f>+J45</f>
        <v>1.892E-3</v>
      </c>
      <c r="K49" s="246">
        <f>+((15*2.8)*2.72)*0</f>
        <v>0</v>
      </c>
      <c r="L49" s="346">
        <v>1.6919982016368774E-2</v>
      </c>
      <c r="M49" s="344">
        <f>+L49*K49</f>
        <v>0</v>
      </c>
    </row>
    <row r="50" spans="2:13" ht="14.4" customHeight="1" x14ac:dyDescent="0.3">
      <c r="E50" s="445" t="s">
        <v>297</v>
      </c>
      <c r="F50" s="445"/>
      <c r="G50" s="445"/>
      <c r="H50" s="209"/>
      <c r="I50" s="210">
        <f>SUM(I48:I49)</f>
        <v>5.7736935539075871</v>
      </c>
      <c r="J50" s="214"/>
      <c r="K50" s="246"/>
      <c r="L50" s="351"/>
      <c r="M50" s="349"/>
    </row>
    <row r="51" spans="2:13" ht="14.4" customHeight="1" x14ac:dyDescent="0.3">
      <c r="E51" s="227"/>
      <c r="F51" s="227"/>
      <c r="G51" s="227"/>
      <c r="H51" s="209"/>
      <c r="I51" s="210"/>
      <c r="J51" s="214"/>
      <c r="K51" s="246"/>
      <c r="L51" s="351"/>
      <c r="M51" s="349"/>
    </row>
    <row r="52" spans="2:13" ht="14.4" customHeight="1" x14ac:dyDescent="0.35">
      <c r="E52" s="445" t="s">
        <v>236</v>
      </c>
      <c r="F52" s="445"/>
      <c r="G52" s="445"/>
      <c r="H52" s="209"/>
      <c r="I52" s="210">
        <f>+J52*K52</f>
        <v>0</v>
      </c>
      <c r="J52" s="214">
        <f>25508/1000000</f>
        <v>2.5507999999999999E-2</v>
      </c>
      <c r="K52" s="246">
        <f>14.43*0</f>
        <v>0</v>
      </c>
      <c r="L52" s="347" t="s">
        <v>486</v>
      </c>
      <c r="M52" s="344"/>
    </row>
    <row r="53" spans="2:13" ht="16.75" customHeight="1" thickBot="1" x14ac:dyDescent="0.35">
      <c r="M53" s="352">
        <f>SUM(M44:M52)</f>
        <v>79.274914286466753</v>
      </c>
    </row>
    <row r="54" spans="2:13" ht="30" customHeight="1" thickBot="1" x14ac:dyDescent="0.35">
      <c r="B54" s="191"/>
      <c r="C54" s="446" t="s">
        <v>88</v>
      </c>
      <c r="D54" s="446"/>
      <c r="E54" s="192"/>
      <c r="F54" s="192"/>
      <c r="G54" s="192"/>
      <c r="H54" s="192"/>
      <c r="I54" s="216"/>
      <c r="J54" s="193"/>
    </row>
    <row r="55" spans="2:13" ht="38" customHeight="1" x14ac:dyDescent="0.3">
      <c r="C55" s="217" t="s">
        <v>89</v>
      </c>
      <c r="D55" s="195">
        <f>SUMPRODUCT((LEFT(G21:G34, 5)="Jumbo") / (COUNTIF(G21:G34, G21:G34 &amp; "") + (G21:G34="")))</f>
        <v>2</v>
      </c>
      <c r="E55" s="447" t="s">
        <v>90</v>
      </c>
      <c r="F55" s="447"/>
      <c r="G55" s="218">
        <v>0.20833333333333334</v>
      </c>
      <c r="I55" s="139"/>
      <c r="J55" s="190"/>
    </row>
    <row r="56" spans="2:13" ht="38" customHeight="1" x14ac:dyDescent="0.3">
      <c r="E56" s="447" t="s">
        <v>93</v>
      </c>
      <c r="F56" s="447"/>
      <c r="G56" s="195">
        <f>15000/(60)</f>
        <v>250</v>
      </c>
      <c r="H56" s="219" t="s">
        <v>143</v>
      </c>
      <c r="I56" s="139"/>
      <c r="J56" s="190"/>
    </row>
    <row r="57" spans="2:13" ht="38" customHeight="1" x14ac:dyDescent="0.3">
      <c r="E57" s="448" t="s">
        <v>91</v>
      </c>
      <c r="F57" s="448"/>
      <c r="G57" s="207">
        <f>+SUM(SUMIF($G$21:$G$34, "Jumbo*", $J$21:$J$34))/SUMPRODUCT((LEFT(G21:G34, 5)="Jumbo") / (COUNTIF(G21:G34, G21:G34 &amp; "") + (G21:G34="")))</f>
        <v>0.25</v>
      </c>
      <c r="H57" s="220">
        <f>+G57*24/($G$55*24)</f>
        <v>1.2</v>
      </c>
      <c r="I57" s="190"/>
      <c r="J57" s="190"/>
    </row>
    <row r="58" spans="2:13" ht="38" customHeight="1" x14ac:dyDescent="0.3">
      <c r="E58" s="448" t="s">
        <v>92</v>
      </c>
      <c r="F58" s="448"/>
      <c r="G58" s="221">
        <f>+SUM(V21:V34)/D55</f>
        <v>159.6</v>
      </c>
      <c r="H58" s="220">
        <f>+G58/G56</f>
        <v>0.63839999999999997</v>
      </c>
      <c r="I58" s="190"/>
      <c r="J58" s="190"/>
    </row>
    <row r="59" spans="2:13" ht="38" customHeight="1" x14ac:dyDescent="0.3">
      <c r="G59" s="222" t="s">
        <v>87</v>
      </c>
      <c r="H59" s="139" t="s">
        <v>23</v>
      </c>
    </row>
    <row r="60" spans="2:13" ht="20" customHeight="1" x14ac:dyDescent="0.3">
      <c r="F60" s="208" t="s">
        <v>65</v>
      </c>
      <c r="G60" s="221">
        <f t="shared" ref="G60:G65" si="15" xml:space="preserve"> SUMIF($G$21:$G$34, +F60,$V$21:$V$34)</f>
        <v>0</v>
      </c>
      <c r="H60" s="220">
        <f t="shared" ref="H60:H65" si="16">+G60/$G$56</f>
        <v>0</v>
      </c>
    </row>
    <row r="61" spans="2:13" ht="20" customHeight="1" x14ac:dyDescent="0.3">
      <c r="F61" s="208" t="s">
        <v>66</v>
      </c>
      <c r="G61" s="221">
        <f t="shared" si="15"/>
        <v>0</v>
      </c>
      <c r="H61" s="220">
        <f t="shared" si="16"/>
        <v>0</v>
      </c>
    </row>
    <row r="62" spans="2:13" ht="20" customHeight="1" x14ac:dyDescent="0.3">
      <c r="F62" s="208" t="s">
        <v>67</v>
      </c>
      <c r="G62" s="221">
        <f t="shared" si="15"/>
        <v>0</v>
      </c>
      <c r="H62" s="220">
        <f t="shared" si="16"/>
        <v>0</v>
      </c>
    </row>
    <row r="63" spans="2:13" ht="20" customHeight="1" x14ac:dyDescent="0.3">
      <c r="F63" s="208" t="s">
        <v>68</v>
      </c>
      <c r="G63" s="221">
        <f t="shared" si="15"/>
        <v>0</v>
      </c>
      <c r="H63" s="220">
        <f t="shared" si="16"/>
        <v>0</v>
      </c>
    </row>
    <row r="64" spans="2:13" ht="20" customHeight="1" x14ac:dyDescent="0.3">
      <c r="F64" s="208" t="s">
        <v>69</v>
      </c>
      <c r="G64" s="221">
        <f t="shared" si="15"/>
        <v>0</v>
      </c>
      <c r="H64" s="220">
        <f t="shared" si="16"/>
        <v>0</v>
      </c>
    </row>
    <row r="65" spans="2:10" ht="20" customHeight="1" x14ac:dyDescent="0.3">
      <c r="F65" s="208" t="s">
        <v>70</v>
      </c>
      <c r="G65" s="221">
        <f t="shared" si="15"/>
        <v>0</v>
      </c>
      <c r="H65" s="220">
        <f t="shared" si="16"/>
        <v>0</v>
      </c>
    </row>
    <row r="66" spans="2:10" ht="20" customHeight="1" x14ac:dyDescent="0.3">
      <c r="F66" s="208" t="s">
        <v>146</v>
      </c>
      <c r="G66" s="223">
        <f>+SUM(G60:G65)</f>
        <v>0</v>
      </c>
      <c r="H66" s="220">
        <f>+G66/($G$56*$D$55)</f>
        <v>0</v>
      </c>
    </row>
    <row r="67" spans="2:10" ht="13.5" thickBot="1" x14ac:dyDescent="0.35"/>
    <row r="68" spans="2:10" ht="30" customHeight="1" thickBot="1" x14ac:dyDescent="0.35">
      <c r="B68" s="191"/>
      <c r="C68" s="446" t="s">
        <v>107</v>
      </c>
      <c r="D68" s="446"/>
      <c r="E68" s="192"/>
      <c r="F68" s="192"/>
      <c r="G68" s="192"/>
      <c r="H68" s="192"/>
      <c r="I68" s="216"/>
      <c r="J68" s="193"/>
    </row>
    <row r="69" spans="2:10" ht="38" customHeight="1" x14ac:dyDescent="0.3">
      <c r="C69" s="208" t="s">
        <v>95</v>
      </c>
      <c r="D69" s="195">
        <f>SUMPRODUCT((LEFT(G21:G34, 5)="Scoop") / (COUNTIF(G21:G34, G21:G34 &amp; "") + (G21:G34="")))</f>
        <v>1</v>
      </c>
      <c r="E69" s="447" t="s">
        <v>90</v>
      </c>
      <c r="F69" s="447"/>
      <c r="G69" s="218">
        <v>0.20833333333333334</v>
      </c>
      <c r="I69" s="139"/>
      <c r="J69" s="190"/>
    </row>
    <row r="70" spans="2:10" ht="38" customHeight="1" x14ac:dyDescent="0.3">
      <c r="C70" s="208" t="s">
        <v>145</v>
      </c>
      <c r="D70" s="195">
        <v>4.9000000000000004</v>
      </c>
      <c r="E70" s="447" t="s">
        <v>97</v>
      </c>
      <c r="F70" s="447"/>
      <c r="G70" s="195">
        <f>15000/(60)</f>
        <v>250</v>
      </c>
      <c r="H70" s="219" t="s">
        <v>23</v>
      </c>
      <c r="I70" s="139"/>
      <c r="J70" s="190"/>
    </row>
    <row r="71" spans="2:10" ht="38" customHeight="1" x14ac:dyDescent="0.3">
      <c r="E71" s="448" t="s">
        <v>98</v>
      </c>
      <c r="F71" s="448"/>
      <c r="G71" s="207">
        <f>+SUM(SUMIF($G$21:$G$34, "Scoop*", $J$21:$J$34))/SUMPRODUCT((LEFT(G21:G34, 5)="Scoop") / (COUNTIF(G21:G34, G21:G34 &amp; "") + (G21:G34="")))</f>
        <v>0.17708333333333337</v>
      </c>
      <c r="H71" s="220">
        <f>+G71*24/($G$69*24)</f>
        <v>0.8500000000000002</v>
      </c>
      <c r="I71" s="190"/>
      <c r="J71" s="190"/>
    </row>
    <row r="72" spans="2:10" ht="38" customHeight="1" x14ac:dyDescent="0.3">
      <c r="E72" s="448" t="s">
        <v>99</v>
      </c>
      <c r="F72" s="448"/>
      <c r="G72" s="221">
        <f>+SUM(W21:W34)*D70/D69</f>
        <v>0</v>
      </c>
      <c r="H72" s="220">
        <f>+G72/G70</f>
        <v>0</v>
      </c>
      <c r="I72" s="190"/>
      <c r="J72" s="190"/>
    </row>
    <row r="73" spans="2:10" ht="38" customHeight="1" x14ac:dyDescent="0.3">
      <c r="G73" s="222" t="s">
        <v>96</v>
      </c>
      <c r="H73" s="139" t="s">
        <v>23</v>
      </c>
    </row>
    <row r="74" spans="2:10" ht="20" customHeight="1" x14ac:dyDescent="0.3">
      <c r="F74" s="208" t="s">
        <v>71</v>
      </c>
      <c r="G74" s="221">
        <f t="shared" ref="G74:G79" si="17" xml:space="preserve"> SUMIF($G$21:$G$34, +F74,$W$21:$W$34)*$D$70</f>
        <v>0</v>
      </c>
      <c r="H74" s="220">
        <f>+G74/$G$70</f>
        <v>0</v>
      </c>
    </row>
    <row r="75" spans="2:10" ht="20" customHeight="1" x14ac:dyDescent="0.3">
      <c r="F75" s="208" t="s">
        <v>72</v>
      </c>
      <c r="G75" s="221">
        <f t="shared" si="17"/>
        <v>0</v>
      </c>
      <c r="H75" s="220">
        <f t="shared" ref="H75:H80" si="18">+G75/$G$70</f>
        <v>0</v>
      </c>
    </row>
    <row r="76" spans="2:10" ht="20" customHeight="1" x14ac:dyDescent="0.3">
      <c r="F76" s="208" t="s">
        <v>73</v>
      </c>
      <c r="G76" s="221">
        <f t="shared" si="17"/>
        <v>0</v>
      </c>
      <c r="H76" s="220">
        <f t="shared" si="18"/>
        <v>0</v>
      </c>
    </row>
    <row r="77" spans="2:10" ht="20" customHeight="1" x14ac:dyDescent="0.3">
      <c r="F77" s="208" t="s">
        <v>74</v>
      </c>
      <c r="G77" s="221">
        <f t="shared" si="17"/>
        <v>0</v>
      </c>
      <c r="H77" s="220">
        <f t="shared" si="18"/>
        <v>0</v>
      </c>
    </row>
    <row r="78" spans="2:10" ht="20" customHeight="1" x14ac:dyDescent="0.3">
      <c r="F78" s="208" t="s">
        <v>75</v>
      </c>
      <c r="G78" s="221">
        <f t="shared" si="17"/>
        <v>0</v>
      </c>
      <c r="H78" s="220">
        <f t="shared" si="18"/>
        <v>0</v>
      </c>
    </row>
    <row r="79" spans="2:10" ht="20" customHeight="1" x14ac:dyDescent="0.3">
      <c r="F79" s="208" t="s">
        <v>76</v>
      </c>
      <c r="G79" s="221">
        <f t="shared" si="17"/>
        <v>0</v>
      </c>
      <c r="H79" s="220">
        <f t="shared" si="18"/>
        <v>0</v>
      </c>
    </row>
    <row r="80" spans="2:10" ht="20" customHeight="1" x14ac:dyDescent="0.3">
      <c r="F80" s="208" t="s">
        <v>146</v>
      </c>
      <c r="G80" s="223">
        <f>+SUM(G74:G79)</f>
        <v>0</v>
      </c>
      <c r="H80" s="220">
        <f t="shared" si="18"/>
        <v>0</v>
      </c>
    </row>
    <row r="81" spans="2:10" ht="13.5" thickBot="1" x14ac:dyDescent="0.35"/>
    <row r="82" spans="2:10" ht="30" customHeight="1" thickBot="1" x14ac:dyDescent="0.35">
      <c r="B82" s="191"/>
      <c r="C82" s="446" t="s">
        <v>149</v>
      </c>
      <c r="D82" s="446"/>
      <c r="E82" s="192"/>
      <c r="F82" s="192"/>
      <c r="G82" s="192"/>
      <c r="H82" s="192"/>
      <c r="I82" s="216"/>
      <c r="J82" s="193"/>
    </row>
    <row r="83" spans="2:10" ht="25.25" customHeight="1" x14ac:dyDescent="0.3">
      <c r="C83" s="208" t="s">
        <v>150</v>
      </c>
      <c r="D83" s="195">
        <f>SUMPRODUCT((LEFT(G21:G34, 8)="Roboshot") / (COUNTIF(G21:G34, G21:G34 &amp; "") + (G21:G34="")))</f>
        <v>0</v>
      </c>
      <c r="E83" s="447" t="s">
        <v>90</v>
      </c>
      <c r="F83" s="447"/>
      <c r="G83" s="218">
        <v>0.20833333333333334</v>
      </c>
    </row>
    <row r="84" spans="2:10" x14ac:dyDescent="0.3">
      <c r="C84" s="208"/>
      <c r="D84" s="195"/>
      <c r="E84" s="447" t="s">
        <v>97</v>
      </c>
      <c r="F84" s="447"/>
      <c r="G84" s="195">
        <v>12</v>
      </c>
      <c r="H84" s="219" t="s">
        <v>23</v>
      </c>
    </row>
    <row r="86" spans="2:10" x14ac:dyDescent="0.3">
      <c r="G86" s="222" t="s">
        <v>96</v>
      </c>
      <c r="H86" s="139" t="s">
        <v>23</v>
      </c>
    </row>
    <row r="87" spans="2:10" x14ac:dyDescent="0.3">
      <c r="F87" s="208" t="s">
        <v>77</v>
      </c>
      <c r="G87" s="221">
        <f xml:space="preserve"> SUMIF($G$21:$G$34, +F87,$X$21:$X$34)</f>
        <v>0</v>
      </c>
      <c r="H87" s="220">
        <f>+G87/$G$84</f>
        <v>0</v>
      </c>
    </row>
    <row r="88" spans="2:10" x14ac:dyDescent="0.3">
      <c r="F88" s="208" t="s">
        <v>78</v>
      </c>
      <c r="G88" s="221">
        <f xml:space="preserve"> SUMIF($G$21:$G$34, +F88,$X$21:$X$34)</f>
        <v>0</v>
      </c>
      <c r="H88" s="220">
        <f t="shared" ref="H88:H89" si="19">+G88/$G$84</f>
        <v>0</v>
      </c>
    </row>
    <row r="89" spans="2:10" x14ac:dyDescent="0.3">
      <c r="F89" s="208" t="s">
        <v>79</v>
      </c>
      <c r="G89" s="221">
        <f xml:space="preserve"> SUMIF($G$21:$G$34, +F89,$X$21:$X$34)</f>
        <v>0</v>
      </c>
      <c r="H89" s="220">
        <f t="shared" si="19"/>
        <v>0</v>
      </c>
    </row>
    <row r="90" spans="2:10" x14ac:dyDescent="0.3">
      <c r="F90" s="208" t="s">
        <v>146</v>
      </c>
      <c r="G90" s="223">
        <f>+SUM(G87:G89)</f>
        <v>0</v>
      </c>
      <c r="H90" s="220">
        <f>+G90/$G$84</f>
        <v>0</v>
      </c>
    </row>
  </sheetData>
  <mergeCells count="38">
    <mergeCell ref="E83:F83"/>
    <mergeCell ref="E84:F84"/>
    <mergeCell ref="C68:D68"/>
    <mergeCell ref="E69:F69"/>
    <mergeCell ref="E71:F71"/>
    <mergeCell ref="E72:F72"/>
    <mergeCell ref="C82:D82"/>
    <mergeCell ref="E70:F70"/>
    <mergeCell ref="E57:F57"/>
    <mergeCell ref="E58:F58"/>
    <mergeCell ref="C54:D54"/>
    <mergeCell ref="E55:F55"/>
    <mergeCell ref="E39:F39"/>
    <mergeCell ref="E40:F40"/>
    <mergeCell ref="E41:F41"/>
    <mergeCell ref="E44:G44"/>
    <mergeCell ref="E45:G45"/>
    <mergeCell ref="E46:G46"/>
    <mergeCell ref="E48:G48"/>
    <mergeCell ref="E49:G49"/>
    <mergeCell ref="E50:G50"/>
    <mergeCell ref="E52:G52"/>
    <mergeCell ref="E56:F56"/>
    <mergeCell ref="C38:D38"/>
    <mergeCell ref="G38:H38"/>
    <mergeCell ref="I38:J38"/>
    <mergeCell ref="K38:L38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40:H41 J40:J41">
    <cfRule type="cellIs" dxfId="860" priority="13" operator="greaterThan">
      <formula>0.9</formula>
    </cfRule>
    <cfRule type="cellIs" dxfId="859" priority="14" operator="between">
      <formula>0.81</formula>
      <formula>0.89</formula>
    </cfRule>
    <cfRule type="cellIs" dxfId="858" priority="15" operator="lessThan">
      <formula>0.8</formula>
    </cfRule>
  </conditionalFormatting>
  <conditionalFormatting sqref="H57:H58">
    <cfRule type="cellIs" dxfId="857" priority="16" operator="greaterThan">
      <formula>0.9</formula>
    </cfRule>
    <cfRule type="cellIs" dxfId="856" priority="17" operator="between">
      <formula>0.81</formula>
      <formula>0.89</formula>
    </cfRule>
    <cfRule type="cellIs" dxfId="855" priority="18" operator="lessThan">
      <formula>0.8</formula>
    </cfRule>
  </conditionalFormatting>
  <conditionalFormatting sqref="H60:H66">
    <cfRule type="cellIs" dxfId="854" priority="19" operator="greaterThan">
      <formula>0.9</formula>
    </cfRule>
    <cfRule type="cellIs" dxfId="853" priority="20" operator="between">
      <formula>0.81</formula>
      <formula>0.89</formula>
    </cfRule>
    <cfRule type="cellIs" dxfId="852" priority="21" operator="lessThan">
      <formula>0.8</formula>
    </cfRule>
  </conditionalFormatting>
  <conditionalFormatting sqref="H71:H72">
    <cfRule type="cellIs" dxfId="851" priority="7" operator="greaterThan">
      <formula>0.9</formula>
    </cfRule>
    <cfRule type="cellIs" dxfId="850" priority="8" operator="between">
      <formula>0.81</formula>
      <formula>0.89</formula>
    </cfRule>
    <cfRule type="cellIs" dxfId="849" priority="9" operator="lessThan">
      <formula>0.8</formula>
    </cfRule>
  </conditionalFormatting>
  <conditionalFormatting sqref="H74:H80">
    <cfRule type="cellIs" dxfId="848" priority="10" operator="greaterThan">
      <formula>0.9</formula>
    </cfRule>
    <cfRule type="cellIs" dxfId="847" priority="11" operator="between">
      <formula>0.81</formula>
      <formula>0.89</formula>
    </cfRule>
    <cfRule type="cellIs" dxfId="846" priority="12" operator="lessThan">
      <formula>0.8</formula>
    </cfRule>
  </conditionalFormatting>
  <conditionalFormatting sqref="H87:H90">
    <cfRule type="cellIs" dxfId="845" priority="4" operator="greaterThan">
      <formula>0.9</formula>
    </cfRule>
    <cfRule type="cellIs" dxfId="844" priority="5" operator="between">
      <formula>0.81</formula>
      <formula>0.89</formula>
    </cfRule>
    <cfRule type="cellIs" dxfId="843" priority="6" operator="lessThan">
      <formula>0.8</formula>
    </cfRule>
  </conditionalFormatting>
  <conditionalFormatting sqref="L40:L41">
    <cfRule type="cellIs" dxfId="842" priority="1" operator="greaterThan">
      <formula>0.9</formula>
    </cfRule>
    <cfRule type="cellIs" dxfId="841" priority="2" operator="between">
      <formula>0.81</formula>
      <formula>0.89</formula>
    </cfRule>
    <cfRule type="cellIs" dxfId="840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369AFDA-41E0-4D63-9EDB-EB16499FEAFD}">
          <x14:formula1>
            <xm:f>Datos!$F$3:$F$41</xm:f>
          </x14:formula1>
          <xm:sqref>G21:G27 G30:G36</xm:sqref>
        </x14:dataValidation>
        <x14:dataValidation type="list" allowBlank="1" showInputMessage="1" showErrorMessage="1" xr:uid="{8AA7DDDC-286E-4FE9-8789-B8DFA1FE46E0}">
          <x14:formula1>
            <xm:f>Datos!$W$3:$W$12</xm:f>
          </x14:formula1>
          <xm:sqref>L21:L27 L30:L36</xm:sqref>
        </x14:dataValidation>
        <x14:dataValidation type="list" allowBlank="1" showInputMessage="1" showErrorMessage="1" xr:uid="{A0714158-96FA-4A8B-B5D0-ED7FC998756C}">
          <x14:formula1>
            <xm:f>Datos!$D$3:$D$27</xm:f>
          </x14:formula1>
          <xm:sqref>F21:F27 F30:F36</xm:sqref>
        </x14:dataValidation>
        <x14:dataValidation type="list" allowBlank="1" showInputMessage="1" showErrorMessage="1" xr:uid="{31DBB059-09FE-4C1C-820A-C5E9094EF2AA}">
          <x14:formula1>
            <xm:f>Datos!$B$3:$B$8</xm:f>
          </x14:formula1>
          <xm:sqref>E21:E27 E30:E36</xm:sqref>
        </x14:dataValidation>
        <x14:dataValidation type="list" allowBlank="1" showInputMessage="1" showErrorMessage="1" xr:uid="{0EA649D3-8FF3-4428-B9C6-017615032B19}">
          <x14:formula1>
            <xm:f>Datos!$H$3:$H$34</xm:f>
          </x14:formula1>
          <xm:sqref>D21:D26 D30:D33</xm:sqref>
        </x14:dataValidation>
        <x14:dataValidation type="list" allowBlank="1" showInputMessage="1" showErrorMessage="1" xr:uid="{D8306762-C2C7-42E6-99A3-76976ADF6B38}">
          <x14:formula1>
            <xm:f>Datos!$H$3:$H$26</xm:f>
          </x14:formula1>
          <xm:sqref>D34:D36 D27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F9C7-E879-4B8A-9ABC-BD1F1CE40463}">
  <sheetPr>
    <pageSetUpPr fitToPage="1"/>
  </sheetPr>
  <dimension ref="B1:X91"/>
  <sheetViews>
    <sheetView showGridLines="0" topLeftCell="A19" zoomScale="85" zoomScaleNormal="85" zoomScaleSheetLayoutView="50" workbookViewId="0">
      <pane xSplit="3" ySplit="2" topLeftCell="D34" activePane="bottomRight" state="frozen"/>
      <selection activeCell="M54" sqref="M54"/>
      <selection pane="topRight" activeCell="M54" sqref="M54"/>
      <selection pane="bottomLeft" activeCell="M54" sqref="M54"/>
      <selection pane="bottomRight" activeCell="M54" sqref="M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19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+G41</f>
        <v>0.63194444444444453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+H42</f>
        <v>0.72499999999999998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+G67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+G81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+G91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104</v>
      </c>
      <c r="E21" s="172" t="s">
        <v>6</v>
      </c>
      <c r="F21" s="172" t="s">
        <v>169</v>
      </c>
      <c r="G21" s="172" t="s">
        <v>204</v>
      </c>
      <c r="H21" s="174">
        <v>0.39583333333333331</v>
      </c>
      <c r="I21" s="174">
        <v>0.47222222222222221</v>
      </c>
      <c r="J21" s="175">
        <f t="shared" ref="J21:J26" si="0">MOD(I21-H21, 1)</f>
        <v>7.6388888888888895E-2</v>
      </c>
      <c r="K21" s="178">
        <v>47</v>
      </c>
      <c r="L21" s="177" t="s">
        <v>128</v>
      </c>
      <c r="M21" s="178"/>
      <c r="N21" s="179">
        <v>0.56000000000000005</v>
      </c>
      <c r="O21" s="225" t="s">
        <v>341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0.12586423274386765</v>
      </c>
      <c r="V21" s="183" t="str">
        <f>IF(OR(D21="Perforación de Fortificación", D21="Perforación de Avance", D21="Perforación Desquinche"), K21*M21, "")</f>
        <v/>
      </c>
      <c r="W21" s="183">
        <f>IF(D21="Extracción de Marina Disparo",K21,"")</f>
        <v>47</v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104</v>
      </c>
      <c r="E22" s="172" t="s">
        <v>6</v>
      </c>
      <c r="F22" s="172" t="s">
        <v>169</v>
      </c>
      <c r="G22" s="172" t="s">
        <v>204</v>
      </c>
      <c r="H22" s="174">
        <v>0.47222222222222221</v>
      </c>
      <c r="I22" s="174">
        <v>0.59722222222222221</v>
      </c>
      <c r="J22" s="175">
        <f t="shared" si="0"/>
        <v>0.125</v>
      </c>
      <c r="K22" s="178">
        <v>33</v>
      </c>
      <c r="L22" s="177" t="s">
        <v>128</v>
      </c>
      <c r="M22" s="178"/>
      <c r="N22" s="179">
        <v>0.44</v>
      </c>
      <c r="O22" s="225" t="s">
        <v>342</v>
      </c>
      <c r="P22" s="181"/>
      <c r="Q22" s="174"/>
      <c r="R22" s="172"/>
      <c r="S22" s="175">
        <f t="shared" ref="S22:S28" si="1">+MOD(R22-Q22,1)</f>
        <v>0</v>
      </c>
      <c r="U22" s="182">
        <f>+IFERROR(VLOOKUP(D22,Datos!$R$3:$T$19,3,FALSE), "0")*N22</f>
        <v>9.889332572732458E-2</v>
      </c>
      <c r="V22" s="183" t="str">
        <f t="shared" ref="V22:V28" si="2">IF(OR(D22="Perforación de Fortificación", D22="Perforación de Avance", D22="Perforación Desquinche"), K22*M22, "")</f>
        <v/>
      </c>
      <c r="W22" s="183">
        <f t="shared" ref="W22:W28" si="3">IF(D22="Extracción de Marina Disparo",K22,"")</f>
        <v>33</v>
      </c>
      <c r="X22" s="183" t="str">
        <f t="shared" ref="X22:X28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56</v>
      </c>
      <c r="E23" s="172" t="s">
        <v>6</v>
      </c>
      <c r="F23" s="172" t="s">
        <v>169</v>
      </c>
      <c r="G23" s="172" t="s">
        <v>209</v>
      </c>
      <c r="H23" s="174">
        <v>0.60416666666666663</v>
      </c>
      <c r="I23" s="174">
        <v>0.68055555555555558</v>
      </c>
      <c r="J23" s="175">
        <f t="shared" si="0"/>
        <v>7.6388888888888951E-2</v>
      </c>
      <c r="K23" s="178"/>
      <c r="L23" s="177"/>
      <c r="M23" s="178"/>
      <c r="N23" s="179">
        <v>1</v>
      </c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4.2783799201369072E-2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59</v>
      </c>
      <c r="E24" s="172" t="s">
        <v>6</v>
      </c>
      <c r="F24" s="172" t="s">
        <v>169</v>
      </c>
      <c r="G24" s="172" t="s">
        <v>213</v>
      </c>
      <c r="H24" s="174">
        <v>0.6875</v>
      </c>
      <c r="I24" s="174">
        <v>0.71527777777777779</v>
      </c>
      <c r="J24" s="175">
        <f t="shared" ref="J24" si="5">MOD(I24-H24, 1)</f>
        <v>2.777777777777779E-2</v>
      </c>
      <c r="K24" s="178"/>
      <c r="L24" s="177"/>
      <c r="M24" s="178"/>
      <c r="N24" s="179">
        <v>1</v>
      </c>
      <c r="O24" s="186"/>
      <c r="P24" s="181"/>
      <c r="Q24" s="174"/>
      <c r="R24" s="174"/>
      <c r="S24" s="175"/>
      <c r="U24" s="182">
        <f>+IFERROR(VLOOKUP(D24,Datos!$R$3:$T$19,3,FALSE), "0")*N24</f>
        <v>5.7045065601825425E-3</v>
      </c>
      <c r="V24" s="183" t="str">
        <f t="shared" ref="V24" si="6">IF(OR(D24="Perforación de Fortificación", D24="Perforación de Avance", D24="Perforación Desquinche"), K24*M24, "")</f>
        <v/>
      </c>
      <c r="W24" s="183" t="str">
        <f t="shared" ref="W24" si="7">IF(D24="Extracción de Marina Disparo",K24,"")</f>
        <v/>
      </c>
      <c r="X24" s="183" t="str">
        <f t="shared" ref="X24" si="8">IF(OR(D24="Shotcrete", D24="Pre Shotcrete"), K24, "")</f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173</v>
      </c>
      <c r="E25" s="172" t="s">
        <v>6</v>
      </c>
      <c r="F25" s="172" t="s">
        <v>169</v>
      </c>
      <c r="G25" s="172"/>
      <c r="H25" s="174">
        <v>0.72222222222222221</v>
      </c>
      <c r="I25" s="174">
        <v>0.76388888888888884</v>
      </c>
      <c r="J25" s="175">
        <f>MOD(I25-H25, 1)</f>
        <v>4.166666666666663E-2</v>
      </c>
      <c r="K25" s="178">
        <v>50</v>
      </c>
      <c r="L25" s="177" t="s">
        <v>125</v>
      </c>
      <c r="M25" s="178">
        <v>4</v>
      </c>
      <c r="N25" s="179">
        <v>1</v>
      </c>
      <c r="O25" s="225" t="s">
        <v>343</v>
      </c>
      <c r="P25" s="181"/>
      <c r="Q25" s="172"/>
      <c r="R25" s="172"/>
      <c r="S25" s="175">
        <f>+MOD(R25-Q25,1)</f>
        <v>0</v>
      </c>
      <c r="U25" s="182">
        <f>+IFERROR(VLOOKUP(D25,Datos!$R$3:$T$19,3,FALSE), "0")*N25</f>
        <v>3.4227039361095259E-2</v>
      </c>
      <c r="V25" s="183" t="str">
        <f>IF(OR(D25="Perforación de Fortificación", D25="Perforación de Avance", D25="Perforación Desquinche"), K25*M25, "")</f>
        <v/>
      </c>
      <c r="W25" s="183" t="str">
        <f>IF(D25="Extracción de Marina Disparo",K25,"")</f>
        <v/>
      </c>
      <c r="X25" s="183" t="str">
        <f>IF(OR(D25="Shotcrete", D25="Pre Shotcrete"), K25, "")</f>
        <v/>
      </c>
    </row>
    <row r="26" spans="2:24" ht="38" customHeight="1" x14ac:dyDescent="0.3">
      <c r="B26" s="172">
        <v>3500</v>
      </c>
      <c r="C26" s="173" t="str">
        <f>+Datos!$R$2</f>
        <v>Ciclo Minero 10,0 x 7,2 m
Galería Inyección Principal</v>
      </c>
      <c r="D26" s="173" t="s">
        <v>105</v>
      </c>
      <c r="E26" s="172" t="s">
        <v>6</v>
      </c>
      <c r="F26" s="172" t="s">
        <v>169</v>
      </c>
      <c r="G26" s="172" t="s">
        <v>206</v>
      </c>
      <c r="H26" s="174">
        <v>0.45833333333333331</v>
      </c>
      <c r="I26" s="174">
        <v>0.74305555555555558</v>
      </c>
      <c r="J26" s="175">
        <f t="shared" si="0"/>
        <v>0.28472222222222227</v>
      </c>
      <c r="K26" s="178">
        <v>23</v>
      </c>
      <c r="L26" s="177" t="s">
        <v>223</v>
      </c>
      <c r="M26" s="178"/>
      <c r="N26" s="179">
        <v>0.35</v>
      </c>
      <c r="O26" s="186" t="s">
        <v>344</v>
      </c>
      <c r="P26" s="181"/>
      <c r="Q26" s="174"/>
      <c r="R26" s="174"/>
      <c r="S26" s="175"/>
      <c r="U26" s="182"/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ht="37.75" customHeight="1" x14ac:dyDescent="0.3">
      <c r="B27" s="172"/>
      <c r="C27" s="173"/>
      <c r="D27" s="173"/>
      <c r="E27" s="172"/>
      <c r="F27" s="172"/>
      <c r="G27" s="172"/>
      <c r="H27" s="174"/>
      <c r="I27" s="174"/>
      <c r="J27" s="175"/>
      <c r="K27" s="178"/>
      <c r="L27" s="177"/>
      <c r="M27" s="178"/>
      <c r="N27" s="179"/>
      <c r="O27" s="225"/>
      <c r="P27" s="181"/>
      <c r="Q27" s="172"/>
      <c r="R27" s="172"/>
      <c r="S27" s="175">
        <f t="shared" si="1"/>
        <v>0</v>
      </c>
      <c r="U27" s="182"/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 t="s">
        <v>329</v>
      </c>
      <c r="J28" s="175">
        <f>MOD(I25-H21, 1)</f>
        <v>0.36805555555555552</v>
      </c>
      <c r="K28" s="178"/>
      <c r="L28" s="177"/>
      <c r="M28" s="178"/>
      <c r="N28" s="179"/>
      <c r="O28" s="186" t="s">
        <v>348</v>
      </c>
      <c r="P28" s="172"/>
      <c r="Q28" s="172"/>
      <c r="R28" s="172"/>
      <c r="S28" s="175">
        <f t="shared" si="1"/>
        <v>0</v>
      </c>
      <c r="U28" s="182">
        <f>SUM(U21:U27)+Datos!T6+Datos!T8+Datos!T10</f>
        <v>0.38847689674843122</v>
      </c>
      <c r="V28" s="183" t="str">
        <f t="shared" si="2"/>
        <v/>
      </c>
      <c r="W28" s="183" t="str">
        <f t="shared" si="3"/>
        <v/>
      </c>
      <c r="X28" s="183" t="str">
        <f t="shared" si="4"/>
        <v/>
      </c>
    </row>
    <row r="29" spans="2:24" x14ac:dyDescent="0.3">
      <c r="B29" s="185" t="s">
        <v>158</v>
      </c>
      <c r="C29" s="63" t="s">
        <v>194</v>
      </c>
      <c r="D29" s="63"/>
      <c r="E29" s="63"/>
      <c r="F29" s="63"/>
      <c r="G29" s="63"/>
      <c r="H29" s="63"/>
      <c r="I29" s="63"/>
      <c r="J29" s="64"/>
      <c r="K29" s="64"/>
      <c r="L29" s="171"/>
      <c r="M29" s="63"/>
      <c r="N29" s="64"/>
      <c r="O29" s="64"/>
      <c r="P29" s="63"/>
      <c r="Q29" s="63"/>
      <c r="R29" s="63"/>
      <c r="S29" s="64"/>
      <c r="U29" s="63"/>
      <c r="V29" s="64"/>
      <c r="W29" s="64"/>
      <c r="X29" s="64"/>
    </row>
    <row r="30" spans="2:24" ht="52" x14ac:dyDescent="0.3">
      <c r="B30" s="63" t="s">
        <v>3</v>
      </c>
      <c r="C30" s="63" t="s">
        <v>2</v>
      </c>
      <c r="D30" s="63" t="s">
        <v>5</v>
      </c>
      <c r="E30" s="63" t="s">
        <v>22</v>
      </c>
      <c r="F30" s="63" t="s">
        <v>139</v>
      </c>
      <c r="G30" s="63" t="s">
        <v>29</v>
      </c>
      <c r="H30" s="63" t="s">
        <v>121</v>
      </c>
      <c r="I30" s="63" t="s">
        <v>4</v>
      </c>
      <c r="J30" s="64" t="s">
        <v>122</v>
      </c>
      <c r="K30" s="64" t="s">
        <v>131</v>
      </c>
      <c r="L30" s="171" t="s">
        <v>123</v>
      </c>
      <c r="M30" s="63" t="s">
        <v>134</v>
      </c>
      <c r="N30" s="64" t="s">
        <v>24</v>
      </c>
      <c r="O30" s="64" t="s">
        <v>130</v>
      </c>
      <c r="P30" s="63" t="s">
        <v>132</v>
      </c>
      <c r="Q30" s="63" t="s">
        <v>121</v>
      </c>
      <c r="R30" s="63" t="s">
        <v>4</v>
      </c>
      <c r="S30" s="64" t="s">
        <v>137</v>
      </c>
      <c r="U30" s="63" t="s">
        <v>109</v>
      </c>
      <c r="V30" s="64" t="s">
        <v>87</v>
      </c>
      <c r="W30" s="64" t="s">
        <v>128</v>
      </c>
      <c r="X30" s="64" t="s">
        <v>128</v>
      </c>
    </row>
    <row r="31" spans="2:24" ht="38" customHeight="1" x14ac:dyDescent="0.3">
      <c r="B31" s="172">
        <v>3700</v>
      </c>
      <c r="C31" s="173" t="str">
        <f>+Datos!R23</f>
        <v>Ciclo Minero 5,2 x 5,6 m
Galería Acceso Portal de Servicio</v>
      </c>
      <c r="D31" s="173" t="s">
        <v>52</v>
      </c>
      <c r="E31" s="172" t="s">
        <v>6</v>
      </c>
      <c r="F31" s="172" t="s">
        <v>170</v>
      </c>
      <c r="G31" s="172" t="s">
        <v>212</v>
      </c>
      <c r="H31" s="174">
        <v>0.40277777777777779</v>
      </c>
      <c r="I31" s="174">
        <v>0.4375</v>
      </c>
      <c r="J31" s="175">
        <f t="shared" ref="J31:J36" si="9">MOD(I31-H31, 1)</f>
        <v>3.472222222222221E-2</v>
      </c>
      <c r="K31" s="178"/>
      <c r="L31" s="177"/>
      <c r="M31" s="178"/>
      <c r="N31" s="179">
        <v>0</v>
      </c>
      <c r="O31" s="186" t="s">
        <v>345</v>
      </c>
      <c r="P31" s="173"/>
      <c r="Q31" s="174"/>
      <c r="R31" s="174"/>
      <c r="S31" s="175">
        <f t="shared" ref="S31:S32" si="10">MOD(R31-Q31, 1)</f>
        <v>0</v>
      </c>
      <c r="U31" s="187">
        <f>+IFERROR(VLOOKUP(D31,Datos!$R$24:$T$40,3,FALSE), "0")*N31</f>
        <v>0</v>
      </c>
      <c r="V31" s="183" t="str">
        <f t="shared" ref="V31:V37" si="11">IF(OR(D31="Perforación de Fortificación", D31="Perforación de Avance", D31="Perforación Desquinche"), K31*M31, "")</f>
        <v/>
      </c>
      <c r="W31" s="183" t="str">
        <f>IF(D31="Extracción de Marina Disparo",K31,"")</f>
        <v/>
      </c>
      <c r="X31" s="183" t="str">
        <f t="shared" ref="X31:X37" si="12">IF(OR(D31="Shotcrete", D31="Pre Shotcrete"), K31, "")</f>
        <v/>
      </c>
    </row>
    <row r="32" spans="2:24" ht="53.4" customHeight="1" x14ac:dyDescent="0.3">
      <c r="B32" s="172">
        <v>3700</v>
      </c>
      <c r="C32" s="173" t="str">
        <f>+C31</f>
        <v>Ciclo Minero 5,2 x 5,6 m
Galería Acceso Portal de Servicio</v>
      </c>
      <c r="D32" s="173" t="s">
        <v>59</v>
      </c>
      <c r="E32" s="172" t="s">
        <v>6</v>
      </c>
      <c r="F32" s="172" t="s">
        <v>170</v>
      </c>
      <c r="G32" s="172" t="s">
        <v>213</v>
      </c>
      <c r="H32" s="174">
        <v>0.4375</v>
      </c>
      <c r="I32" s="174">
        <v>0.46527777777777779</v>
      </c>
      <c r="J32" s="175">
        <f t="shared" si="9"/>
        <v>2.777777777777779E-2</v>
      </c>
      <c r="K32" s="178"/>
      <c r="L32" s="177"/>
      <c r="M32" s="178"/>
      <c r="N32" s="179">
        <v>1</v>
      </c>
      <c r="O32" s="186" t="s">
        <v>346</v>
      </c>
      <c r="P32" s="181"/>
      <c r="Q32" s="174"/>
      <c r="R32" s="174"/>
      <c r="S32" s="175">
        <f t="shared" si="10"/>
        <v>0</v>
      </c>
      <c r="U32" s="187">
        <f>+IFERROR(VLOOKUP(D32,Datos!$R$24:$T$40,3,FALSE), "0")*N32</f>
        <v>9.7751710654936444E-3</v>
      </c>
      <c r="V32" s="183" t="str">
        <f t="shared" si="11"/>
        <v/>
      </c>
      <c r="W32" s="183" t="str">
        <f t="shared" ref="W32:W37" si="13">IF(D32="Extracción de Marina Disparo",K32,"")</f>
        <v/>
      </c>
      <c r="X32" s="183" t="str">
        <f t="shared" si="12"/>
        <v/>
      </c>
    </row>
    <row r="33" spans="2:24" ht="38" customHeight="1" x14ac:dyDescent="0.3">
      <c r="B33" s="172">
        <v>3700</v>
      </c>
      <c r="C33" s="173" t="str">
        <f>+C32</f>
        <v>Ciclo Minero 5,2 x 5,6 m
Galería Acceso Portal de Servicio</v>
      </c>
      <c r="D33" s="173" t="s">
        <v>347</v>
      </c>
      <c r="E33" s="172" t="s">
        <v>6</v>
      </c>
      <c r="F33" s="172" t="s">
        <v>170</v>
      </c>
      <c r="G33" s="172" t="s">
        <v>212</v>
      </c>
      <c r="H33" s="174">
        <v>0.46527777777777779</v>
      </c>
      <c r="I33" s="174">
        <v>0.51388888888888884</v>
      </c>
      <c r="J33" s="175">
        <f t="shared" si="9"/>
        <v>4.8611111111111049E-2</v>
      </c>
      <c r="K33" s="178">
        <v>110</v>
      </c>
      <c r="L33" s="177" t="s">
        <v>129</v>
      </c>
      <c r="M33" s="178">
        <v>3.8</v>
      </c>
      <c r="N33" s="179">
        <v>1</v>
      </c>
      <c r="O33" s="225"/>
      <c r="P33" s="172"/>
      <c r="Q33" s="172"/>
      <c r="R33" s="172"/>
      <c r="S33" s="175">
        <f t="shared" ref="S33:S37" si="14">+MOD(R33-Q33,1)</f>
        <v>0</v>
      </c>
      <c r="U33" s="187">
        <f>+IFERROR(VLOOKUP(D33,Datos!$R$24:$T$40,3,FALSE), "0")*N33</f>
        <v>0</v>
      </c>
      <c r="V33" s="183" t="str">
        <f t="shared" si="11"/>
        <v/>
      </c>
      <c r="W33" s="183" t="str">
        <f t="shared" si="13"/>
        <v/>
      </c>
      <c r="X33" s="183"/>
    </row>
    <row r="34" spans="2:24" ht="38" customHeight="1" x14ac:dyDescent="0.3">
      <c r="B34" s="172">
        <v>3700</v>
      </c>
      <c r="C34" s="173" t="str">
        <f>+C33</f>
        <v>Ciclo Minero 5,2 x 5,6 m
Galería Acceso Portal de Servicio</v>
      </c>
      <c r="D34" s="173" t="s">
        <v>227</v>
      </c>
      <c r="E34" s="172" t="s">
        <v>6</v>
      </c>
      <c r="F34" s="172" t="s">
        <v>170</v>
      </c>
      <c r="G34" s="172" t="s">
        <v>212</v>
      </c>
      <c r="H34" s="174">
        <v>0.51388888888888884</v>
      </c>
      <c r="I34" s="174">
        <v>0.61458333333333337</v>
      </c>
      <c r="J34" s="175">
        <f t="shared" si="9"/>
        <v>0.10069444444444453</v>
      </c>
      <c r="K34" s="178">
        <v>110</v>
      </c>
      <c r="L34" s="177" t="s">
        <v>129</v>
      </c>
      <c r="M34" s="178">
        <v>3.8</v>
      </c>
      <c r="N34" s="179">
        <v>1</v>
      </c>
      <c r="O34" s="225"/>
      <c r="P34" s="181"/>
      <c r="Q34" s="174"/>
      <c r="R34" s="174"/>
      <c r="S34" s="175">
        <f t="shared" si="14"/>
        <v>0</v>
      </c>
      <c r="U34" s="187">
        <f>+IFERROR(VLOOKUP(D34,Datos!$R$24:$T$40,3,FALSE), "0")*N34</f>
        <v>7.2336265884652987E-2</v>
      </c>
      <c r="V34" s="183" t="str">
        <f t="shared" si="11"/>
        <v/>
      </c>
      <c r="W34" s="183" t="str">
        <f t="shared" si="13"/>
        <v/>
      </c>
      <c r="X34" s="183" t="str">
        <f t="shared" si="12"/>
        <v/>
      </c>
    </row>
    <row r="35" spans="2:24" ht="38" customHeight="1" x14ac:dyDescent="0.3">
      <c r="B35" s="172">
        <v>3700</v>
      </c>
      <c r="C35" s="173" t="str">
        <f>+C34</f>
        <v>Ciclo Minero 5,2 x 5,6 m
Galería Acceso Portal de Servicio</v>
      </c>
      <c r="D35" s="173" t="s">
        <v>349</v>
      </c>
      <c r="E35" s="172" t="s">
        <v>6</v>
      </c>
      <c r="F35" s="172" t="s">
        <v>170</v>
      </c>
      <c r="G35" s="172"/>
      <c r="H35" s="174">
        <v>0.62152777777777779</v>
      </c>
      <c r="I35" s="174">
        <v>0.64583333333333337</v>
      </c>
      <c r="J35" s="175">
        <f t="shared" si="9"/>
        <v>2.430555555555558E-2</v>
      </c>
      <c r="K35" s="178"/>
      <c r="L35" s="177"/>
      <c r="M35" s="178"/>
      <c r="N35" s="179">
        <v>1</v>
      </c>
      <c r="O35" s="188"/>
      <c r="P35" s="172"/>
      <c r="Q35" s="172"/>
      <c r="R35" s="172"/>
      <c r="S35" s="175">
        <f t="shared" si="14"/>
        <v>0</v>
      </c>
      <c r="U35" s="187">
        <f>+IFERROR(VLOOKUP(D35,Datos!$R$24:$T$40,3,FALSE), "0")*N35</f>
        <v>0</v>
      </c>
      <c r="V35" s="183" t="str">
        <f t="shared" si="11"/>
        <v/>
      </c>
      <c r="W35" s="183" t="str">
        <f t="shared" si="13"/>
        <v/>
      </c>
      <c r="X35" s="183" t="str">
        <f t="shared" si="12"/>
        <v/>
      </c>
    </row>
    <row r="36" spans="2:24" ht="38" customHeight="1" x14ac:dyDescent="0.3">
      <c r="B36" s="172">
        <v>3700</v>
      </c>
      <c r="C36" s="173" t="str">
        <f>+C35</f>
        <v>Ciclo Minero 5,2 x 5,6 m
Galería Acceso Portal de Servicio</v>
      </c>
      <c r="D36" s="173" t="s">
        <v>105</v>
      </c>
      <c r="E36" s="172" t="s">
        <v>6</v>
      </c>
      <c r="F36" s="172" t="s">
        <v>170</v>
      </c>
      <c r="G36" s="172" t="s">
        <v>204</v>
      </c>
      <c r="H36" s="174">
        <v>0.67013888888888884</v>
      </c>
      <c r="I36" s="174">
        <v>0.76041666666666663</v>
      </c>
      <c r="J36" s="175">
        <f t="shared" si="9"/>
        <v>9.027777777777779E-2</v>
      </c>
      <c r="K36" s="178">
        <v>30</v>
      </c>
      <c r="L36" s="177" t="s">
        <v>128</v>
      </c>
      <c r="M36" s="178"/>
      <c r="N36" s="179">
        <v>0.92</v>
      </c>
      <c r="O36" s="186" t="s">
        <v>351</v>
      </c>
      <c r="P36" s="172" t="s">
        <v>352</v>
      </c>
      <c r="Q36" s="174">
        <v>0.69791666666666663</v>
      </c>
      <c r="R36" s="174">
        <v>0.71875</v>
      </c>
      <c r="S36" s="175">
        <f t="shared" si="14"/>
        <v>2.083333333333337E-2</v>
      </c>
      <c r="U36" s="187">
        <f>+IFERROR(VLOOKUP(D36,Datos!$R$24:$T$40,3,FALSE), "0")*N36</f>
        <v>0</v>
      </c>
      <c r="V36" s="183" t="str">
        <f t="shared" si="11"/>
        <v/>
      </c>
      <c r="W36" s="183" t="str">
        <f t="shared" si="13"/>
        <v/>
      </c>
      <c r="X36" s="183" t="str">
        <f t="shared" si="12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 t="s">
        <v>329</v>
      </c>
      <c r="J37" s="175">
        <f>MOD(I36-H31, 1)</f>
        <v>0.35763888888888884</v>
      </c>
      <c r="K37" s="178"/>
      <c r="L37" s="177"/>
      <c r="M37" s="178"/>
      <c r="N37" s="179"/>
      <c r="O37" s="186" t="s">
        <v>350</v>
      </c>
      <c r="P37" s="172"/>
      <c r="Q37" s="172"/>
      <c r="R37" s="172"/>
      <c r="S37" s="175">
        <f t="shared" si="14"/>
        <v>0</v>
      </c>
      <c r="U37" s="189">
        <f>SUM(U31:U36)</f>
        <v>8.2111436950146638E-2</v>
      </c>
      <c r="V37" s="183" t="str">
        <f t="shared" si="11"/>
        <v/>
      </c>
      <c r="W37" s="183" t="str">
        <f t="shared" si="13"/>
        <v/>
      </c>
      <c r="X37" s="183" t="str">
        <f t="shared" si="12"/>
        <v/>
      </c>
    </row>
    <row r="38" spans="2:24" ht="15.65" customHeight="1" thickBot="1" x14ac:dyDescent="0.35">
      <c r="B38" s="190"/>
      <c r="C38" s="190"/>
      <c r="D38" s="190"/>
      <c r="E38" s="190"/>
      <c r="F38" s="190"/>
      <c r="G38" s="190"/>
      <c r="H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</row>
    <row r="39" spans="2:24" ht="30" customHeight="1" thickBot="1" x14ac:dyDescent="0.35">
      <c r="B39" s="191"/>
      <c r="C39" s="446" t="s">
        <v>64</v>
      </c>
      <c r="D39" s="446"/>
      <c r="E39" s="192"/>
      <c r="F39" s="192"/>
      <c r="G39" s="431">
        <v>3500</v>
      </c>
      <c r="H39" s="432"/>
      <c r="I39" s="431">
        <v>3700</v>
      </c>
      <c r="J39" s="432"/>
      <c r="K39" s="433" t="s">
        <v>146</v>
      </c>
      <c r="L39" s="434"/>
      <c r="M39" s="190"/>
      <c r="N39" s="190"/>
      <c r="O39" s="190"/>
      <c r="P39" s="190"/>
      <c r="Q39" s="190"/>
      <c r="R39" s="190"/>
      <c r="S39" s="190"/>
    </row>
    <row r="40" spans="2:24" ht="30" customHeight="1" x14ac:dyDescent="0.3">
      <c r="C40" s="194" t="s">
        <v>48</v>
      </c>
      <c r="D40" s="195">
        <f>SUMPRODUCT((LEFT(F21:F35, 1)="C") / (COUNTIF(F21:F35, F21:F35 &amp; "") + (F21:F35="")))</f>
        <v>0</v>
      </c>
      <c r="E40" s="447" t="s">
        <v>90</v>
      </c>
      <c r="F40" s="447"/>
      <c r="G40" s="196">
        <v>0.26041666666666669</v>
      </c>
      <c r="H40" s="197" t="s">
        <v>23</v>
      </c>
      <c r="I40" s="196">
        <v>0.26041666666666669</v>
      </c>
      <c r="J40" s="197" t="s">
        <v>23</v>
      </c>
      <c r="K40" s="198">
        <f>+G40</f>
        <v>0.26041666666666669</v>
      </c>
      <c r="L40" s="197" t="s">
        <v>23</v>
      </c>
      <c r="M40" s="190"/>
      <c r="N40" s="190"/>
      <c r="O40" s="190"/>
      <c r="P40" s="190"/>
      <c r="Q40" s="190"/>
      <c r="R40" s="190"/>
      <c r="S40" s="190"/>
    </row>
    <row r="41" spans="2:24" x14ac:dyDescent="0.3">
      <c r="C41" s="194" t="s">
        <v>49</v>
      </c>
      <c r="D41" s="195">
        <f>SUMPRODUCT((LEFT(F21:F35, 1)="O") / (COUNTIF(F21:F35, F21:F35 &amp; "") + (F21:F35="")))</f>
        <v>0</v>
      </c>
      <c r="E41" s="448" t="s">
        <v>198</v>
      </c>
      <c r="F41" s="448"/>
      <c r="G41" s="199">
        <f>SUM(J21:J27)</f>
        <v>0.63194444444444453</v>
      </c>
      <c r="H41" s="200">
        <f>+G41*24/($G$40*24)</f>
        <v>2.4266666666666667</v>
      </c>
      <c r="I41" s="199">
        <f>SUM(J31:J35)</f>
        <v>0.23611111111111116</v>
      </c>
      <c r="J41" s="200">
        <f>+I41*24/($I$40*24)</f>
        <v>0.90666666666666684</v>
      </c>
      <c r="K41" s="201">
        <f>AVERAGE(G41+I41)/2</f>
        <v>0.43402777777777785</v>
      </c>
      <c r="L41" s="200">
        <f>+K41*24/($K$40*24)</f>
        <v>1.666666666666667</v>
      </c>
      <c r="M41" s="190"/>
      <c r="N41" s="190"/>
      <c r="O41" s="190"/>
      <c r="P41" s="190"/>
      <c r="Q41" s="190"/>
      <c r="R41" s="190"/>
      <c r="S41" s="190"/>
    </row>
    <row r="42" spans="2:24" ht="43.25" customHeight="1" thickBot="1" x14ac:dyDescent="0.35">
      <c r="E42" s="448" t="s">
        <v>94</v>
      </c>
      <c r="F42" s="448"/>
      <c r="G42" s="202"/>
      <c r="H42" s="203">
        <f>+AVERAGE(N21:N28)</f>
        <v>0.72499999999999998</v>
      </c>
      <c r="I42" s="202"/>
      <c r="J42" s="203">
        <f>+AVERAGE(N31:N35)</f>
        <v>0.8</v>
      </c>
      <c r="K42" s="204"/>
      <c r="L42" s="203">
        <f>+AVERAGE(N21:N35)</f>
        <v>0.75909090909090904</v>
      </c>
    </row>
    <row r="43" spans="2:24" ht="43.25" customHeight="1" x14ac:dyDescent="0.3">
      <c r="E43" s="205"/>
      <c r="F43" s="205"/>
      <c r="G43" s="206"/>
      <c r="H43" s="206"/>
      <c r="I43" s="137"/>
      <c r="J43" s="137"/>
      <c r="K43" s="137"/>
      <c r="L43" s="137"/>
    </row>
    <row r="44" spans="2:24" ht="43.25" customHeight="1" x14ac:dyDescent="0.3">
      <c r="E44" s="194"/>
      <c r="F44" s="194"/>
      <c r="G44" s="207"/>
      <c r="H44" s="208" t="s">
        <v>24</v>
      </c>
      <c r="I44" s="208" t="s">
        <v>199</v>
      </c>
      <c r="J44" s="208" t="s">
        <v>201</v>
      </c>
      <c r="K44" s="208" t="s">
        <v>258</v>
      </c>
      <c r="L44" s="345" t="s">
        <v>484</v>
      </c>
      <c r="M44" s="345" t="s">
        <v>485</v>
      </c>
      <c r="N44" s="208"/>
    </row>
    <row r="45" spans="2:24" ht="14.5" x14ac:dyDescent="0.35">
      <c r="E45" s="445" t="s">
        <v>174</v>
      </c>
      <c r="F45" s="445"/>
      <c r="G45" s="445"/>
      <c r="H45" s="209">
        <f>+U37</f>
        <v>8.2111436950146638E-2</v>
      </c>
      <c r="I45" s="210">
        <f>+H45*$J$45*$K$45</f>
        <v>1.8534193548387099</v>
      </c>
      <c r="J45" s="211">
        <v>6.6</v>
      </c>
      <c r="K45" s="246">
        <v>3.42</v>
      </c>
      <c r="L45" s="344">
        <v>56.080975609756102</v>
      </c>
      <c r="M45" s="344">
        <f>+L45*K45*H45</f>
        <v>15.748722065660543</v>
      </c>
    </row>
    <row r="46" spans="2:24" ht="14.4" customHeight="1" x14ac:dyDescent="0.35">
      <c r="E46" s="445" t="s">
        <v>224</v>
      </c>
      <c r="F46" s="445"/>
      <c r="G46" s="445"/>
      <c r="H46" s="209"/>
      <c r="I46" s="210">
        <f>+J46*K46</f>
        <v>0</v>
      </c>
      <c r="J46" s="214">
        <f>1892/1000000</f>
        <v>1.892E-3</v>
      </c>
      <c r="K46" s="246">
        <f>+((15*4.4)*2.72)*0</f>
        <v>0</v>
      </c>
      <c r="L46" s="346">
        <v>1.6919982016368774E-2</v>
      </c>
      <c r="M46" s="344">
        <f>+L46*K46</f>
        <v>0</v>
      </c>
    </row>
    <row r="47" spans="2:24" ht="14.4" customHeight="1" x14ac:dyDescent="0.35">
      <c r="E47" s="445" t="s">
        <v>298</v>
      </c>
      <c r="F47" s="445"/>
      <c r="G47" s="445"/>
      <c r="H47" s="209"/>
      <c r="I47" s="210">
        <f>SUM(I45:I46)</f>
        <v>1.8534193548387099</v>
      </c>
      <c r="J47" s="214"/>
      <c r="K47" s="246"/>
      <c r="L47" s="346"/>
      <c r="M47" s="344"/>
    </row>
    <row r="48" spans="2:24" ht="14.4" customHeight="1" x14ac:dyDescent="0.35">
      <c r="E48" s="227"/>
      <c r="F48" s="227"/>
      <c r="G48" s="227"/>
      <c r="H48" s="209"/>
      <c r="I48" s="210"/>
      <c r="J48" s="214"/>
      <c r="K48" s="246"/>
      <c r="L48" s="346"/>
      <c r="M48" s="344"/>
    </row>
    <row r="49" spans="2:13" ht="14.4" customHeight="1" x14ac:dyDescent="0.35">
      <c r="E49" s="445" t="s">
        <v>175</v>
      </c>
      <c r="F49" s="445"/>
      <c r="G49" s="445"/>
      <c r="H49" s="209">
        <f>+U28</f>
        <v>0.38847689674843122</v>
      </c>
      <c r="I49" s="210">
        <f>+H49*$J$49*$K$49</f>
        <v>15.677373645179692</v>
      </c>
      <c r="J49" s="211">
        <v>11.8</v>
      </c>
      <c r="K49" s="246">
        <v>3.42</v>
      </c>
      <c r="L49" s="344">
        <v>118.52055555555555</v>
      </c>
      <c r="M49" s="344">
        <f>+L49*K49*H49</f>
        <v>157.46534187107812</v>
      </c>
    </row>
    <row r="50" spans="2:13" ht="14.4" customHeight="1" x14ac:dyDescent="0.35">
      <c r="E50" s="445" t="s">
        <v>225</v>
      </c>
      <c r="F50" s="445"/>
      <c r="G50" s="445"/>
      <c r="H50" s="209"/>
      <c r="I50" s="210">
        <f>+J50*K50</f>
        <v>4.9712678400000012</v>
      </c>
      <c r="J50" s="214">
        <f>+J46</f>
        <v>1.892E-3</v>
      </c>
      <c r="K50" s="215">
        <f>+((15*2.8)*2.72)*K26</f>
        <v>2627.5200000000004</v>
      </c>
      <c r="L50" s="346">
        <v>1.6919982016368774E-2</v>
      </c>
      <c r="M50" s="344">
        <f>+L50*K50</f>
        <v>44.457591147649289</v>
      </c>
    </row>
    <row r="51" spans="2:13" ht="14.4" customHeight="1" x14ac:dyDescent="0.3">
      <c r="E51" s="445" t="s">
        <v>297</v>
      </c>
      <c r="F51" s="445"/>
      <c r="G51" s="445"/>
      <c r="H51" s="209"/>
      <c r="I51" s="210">
        <f>SUM(I49:I50)</f>
        <v>20.648641485179695</v>
      </c>
      <c r="J51" s="214"/>
      <c r="K51" s="246"/>
      <c r="L51" s="351"/>
      <c r="M51" s="349"/>
    </row>
    <row r="52" spans="2:13" ht="14.4" customHeight="1" x14ac:dyDescent="0.3">
      <c r="E52" s="227"/>
      <c r="F52" s="227"/>
      <c r="G52" s="227"/>
      <c r="H52" s="209"/>
      <c r="I52" s="210"/>
      <c r="J52" s="214"/>
      <c r="K52" s="246"/>
      <c r="L52" s="351"/>
      <c r="M52" s="349"/>
    </row>
    <row r="53" spans="2:13" ht="14.4" customHeight="1" x14ac:dyDescent="0.35">
      <c r="E53" s="445" t="s">
        <v>236</v>
      </c>
      <c r="F53" s="445"/>
      <c r="G53" s="445"/>
      <c r="H53" s="209"/>
      <c r="I53" s="210">
        <f>+J53*K53</f>
        <v>0</v>
      </c>
      <c r="J53" s="214">
        <f>25508/1000000</f>
        <v>2.5507999999999999E-2</v>
      </c>
      <c r="K53" s="246">
        <f>14.43*0</f>
        <v>0</v>
      </c>
      <c r="L53" s="347" t="s">
        <v>486</v>
      </c>
      <c r="M53" s="344"/>
    </row>
    <row r="54" spans="2:13" ht="23.4" customHeight="1" thickBot="1" x14ac:dyDescent="0.35">
      <c r="M54" s="352">
        <f>SUM(M45:M53)</f>
        <v>217.67165508438794</v>
      </c>
    </row>
    <row r="55" spans="2:13" ht="30" customHeight="1" thickBot="1" x14ac:dyDescent="0.35">
      <c r="B55" s="191"/>
      <c r="C55" s="446" t="s">
        <v>88</v>
      </c>
      <c r="D55" s="446"/>
      <c r="E55" s="192"/>
      <c r="F55" s="192"/>
      <c r="G55" s="192"/>
      <c r="H55" s="192"/>
      <c r="I55" s="216"/>
      <c r="J55" s="193"/>
    </row>
    <row r="56" spans="2:13" ht="38" customHeight="1" x14ac:dyDescent="0.3">
      <c r="C56" s="217" t="s">
        <v>89</v>
      </c>
      <c r="D56" s="195">
        <f>SUMPRODUCT((LEFT(G21:G35, 5)="Jumbo") / (COUNTIF(G21:G35, G21:G35 &amp; "") + (G21:G35="")))</f>
        <v>0</v>
      </c>
      <c r="E56" s="447" t="s">
        <v>90</v>
      </c>
      <c r="F56" s="447"/>
      <c r="G56" s="218">
        <v>0.20833333333333334</v>
      </c>
      <c r="I56" s="139"/>
      <c r="J56" s="190"/>
    </row>
    <row r="57" spans="2:13" ht="38" customHeight="1" x14ac:dyDescent="0.3">
      <c r="E57" s="447" t="s">
        <v>93</v>
      </c>
      <c r="F57" s="447"/>
      <c r="G57" s="195">
        <f>15000/(60)</f>
        <v>250</v>
      </c>
      <c r="H57" s="219" t="s">
        <v>143</v>
      </c>
      <c r="I57" s="139"/>
      <c r="J57" s="190"/>
    </row>
    <row r="58" spans="2:13" ht="38" customHeight="1" x14ac:dyDescent="0.3">
      <c r="E58" s="448" t="s">
        <v>91</v>
      </c>
      <c r="F58" s="448"/>
      <c r="G58" s="207" t="e">
        <f>+SUM(SUMIF($G$21:$G$35, "Jumbo*", $J$21:$J$35))/SUMPRODUCT((LEFT(G21:G35, 5)="Jumbo") / (COUNTIF(G21:G35, G21:G35 &amp; "") + (G21:G35="")))</f>
        <v>#DIV/0!</v>
      </c>
      <c r="H58" s="220" t="e">
        <f>+G58*24/($G$56*24)</f>
        <v>#DIV/0!</v>
      </c>
      <c r="I58" s="190"/>
      <c r="J58" s="190"/>
    </row>
    <row r="59" spans="2:13" ht="38" customHeight="1" x14ac:dyDescent="0.3">
      <c r="E59" s="448" t="s">
        <v>92</v>
      </c>
      <c r="F59" s="448"/>
      <c r="G59" s="221" t="e">
        <f>+SUM(V21:V35)/D56</f>
        <v>#DIV/0!</v>
      </c>
      <c r="H59" s="220" t="e">
        <f>+G59/G57</f>
        <v>#DIV/0!</v>
      </c>
      <c r="I59" s="190"/>
      <c r="J59" s="190"/>
    </row>
    <row r="60" spans="2:13" ht="38" customHeight="1" x14ac:dyDescent="0.3">
      <c r="G60" s="222" t="s">
        <v>87</v>
      </c>
      <c r="H60" s="139" t="s">
        <v>23</v>
      </c>
    </row>
    <row r="61" spans="2:13" ht="20" customHeight="1" x14ac:dyDescent="0.3">
      <c r="F61" s="208" t="s">
        <v>65</v>
      </c>
      <c r="G61" s="221">
        <f t="shared" ref="G61:G66" si="15" xml:space="preserve"> SUMIF($G$21:$G$35, +F61,$V$21:$V$35)</f>
        <v>0</v>
      </c>
      <c r="H61" s="220">
        <f t="shared" ref="H61:H66" si="16">+G61/$G$57</f>
        <v>0</v>
      </c>
    </row>
    <row r="62" spans="2:13" ht="20" customHeight="1" x14ac:dyDescent="0.3">
      <c r="F62" s="208" t="s">
        <v>66</v>
      </c>
      <c r="G62" s="221">
        <f t="shared" si="15"/>
        <v>0</v>
      </c>
      <c r="H62" s="220">
        <f t="shared" si="16"/>
        <v>0</v>
      </c>
    </row>
    <row r="63" spans="2:13" ht="20" customHeight="1" x14ac:dyDescent="0.3">
      <c r="F63" s="208" t="s">
        <v>67</v>
      </c>
      <c r="G63" s="221">
        <f t="shared" si="15"/>
        <v>0</v>
      </c>
      <c r="H63" s="220">
        <f t="shared" si="16"/>
        <v>0</v>
      </c>
    </row>
    <row r="64" spans="2:13" ht="20" customHeight="1" x14ac:dyDescent="0.3">
      <c r="F64" s="208" t="s">
        <v>68</v>
      </c>
      <c r="G64" s="221">
        <f t="shared" si="15"/>
        <v>0</v>
      </c>
      <c r="H64" s="220">
        <f t="shared" si="16"/>
        <v>0</v>
      </c>
    </row>
    <row r="65" spans="2:10" ht="20" customHeight="1" x14ac:dyDescent="0.3">
      <c r="F65" s="208" t="s">
        <v>69</v>
      </c>
      <c r="G65" s="221">
        <f t="shared" si="15"/>
        <v>0</v>
      </c>
      <c r="H65" s="220">
        <f t="shared" si="16"/>
        <v>0</v>
      </c>
    </row>
    <row r="66" spans="2:10" ht="20" customHeight="1" x14ac:dyDescent="0.3">
      <c r="F66" s="208" t="s">
        <v>70</v>
      </c>
      <c r="G66" s="221">
        <f t="shared" si="15"/>
        <v>0</v>
      </c>
      <c r="H66" s="220">
        <f t="shared" si="16"/>
        <v>0</v>
      </c>
    </row>
    <row r="67" spans="2:10" ht="20" customHeight="1" x14ac:dyDescent="0.3">
      <c r="F67" s="208" t="s">
        <v>146</v>
      </c>
      <c r="G67" s="223">
        <f>+SUM(G61:G66)</f>
        <v>0</v>
      </c>
      <c r="H67" s="220" t="e">
        <f>+G67/($G$57*$D$56)</f>
        <v>#DIV/0!</v>
      </c>
    </row>
    <row r="68" spans="2:10" ht="13.5" thickBot="1" x14ac:dyDescent="0.35"/>
    <row r="69" spans="2:10" ht="30" customHeight="1" thickBot="1" x14ac:dyDescent="0.35">
      <c r="B69" s="191"/>
      <c r="C69" s="446" t="s">
        <v>107</v>
      </c>
      <c r="D69" s="446"/>
      <c r="E69" s="192"/>
      <c r="F69" s="192"/>
      <c r="G69" s="192"/>
      <c r="H69" s="192"/>
      <c r="I69" s="216"/>
      <c r="J69" s="193"/>
    </row>
    <row r="70" spans="2:10" ht="38" customHeight="1" x14ac:dyDescent="0.3">
      <c r="C70" s="208" t="s">
        <v>95</v>
      </c>
      <c r="D70" s="195">
        <f>SUMPRODUCT((LEFT(G21:G35, 5)="Scoop") / (COUNTIF(G21:G35, G21:G35 &amp; "") + (G21:G35="")))</f>
        <v>1</v>
      </c>
      <c r="E70" s="447" t="s">
        <v>90</v>
      </c>
      <c r="F70" s="447"/>
      <c r="G70" s="218">
        <v>0.20833333333333334</v>
      </c>
      <c r="I70" s="139"/>
      <c r="J70" s="190"/>
    </row>
    <row r="71" spans="2:10" ht="38" customHeight="1" x14ac:dyDescent="0.3">
      <c r="C71" s="208" t="s">
        <v>145</v>
      </c>
      <c r="D71" s="195">
        <v>4.9000000000000004</v>
      </c>
      <c r="E71" s="447" t="s">
        <v>97</v>
      </c>
      <c r="F71" s="447"/>
      <c r="G71" s="195">
        <f>15000/(60)</f>
        <v>250</v>
      </c>
      <c r="H71" s="219" t="s">
        <v>23</v>
      </c>
      <c r="I71" s="139"/>
      <c r="J71" s="190"/>
    </row>
    <row r="72" spans="2:10" ht="38" customHeight="1" x14ac:dyDescent="0.3">
      <c r="E72" s="448" t="s">
        <v>98</v>
      </c>
      <c r="F72" s="448"/>
      <c r="G72" s="207">
        <f>+SUM(SUMIF($G$21:$G$35, "Scoop*", $J$21:$J$35))/SUMPRODUCT((LEFT(G21:G35, 5)="Scoop") / (COUNTIF(G21:G35, G21:G35 &amp; "") + (G21:G35="")))</f>
        <v>0.2013888888888889</v>
      </c>
      <c r="H72" s="220">
        <f>+G72*24/($G$70*24)</f>
        <v>0.96666666666666679</v>
      </c>
      <c r="I72" s="190"/>
      <c r="J72" s="190"/>
    </row>
    <row r="73" spans="2:10" ht="38" customHeight="1" x14ac:dyDescent="0.3">
      <c r="E73" s="448" t="s">
        <v>99</v>
      </c>
      <c r="F73" s="448"/>
      <c r="G73" s="221">
        <f>+SUM(W21:W35)*D71/D70</f>
        <v>392</v>
      </c>
      <c r="H73" s="220">
        <f>+G73/G71</f>
        <v>1.5680000000000001</v>
      </c>
      <c r="I73" s="190"/>
      <c r="J73" s="190"/>
    </row>
    <row r="74" spans="2:10" ht="38" customHeight="1" x14ac:dyDescent="0.3">
      <c r="G74" s="222" t="s">
        <v>96</v>
      </c>
      <c r="H74" s="139" t="s">
        <v>23</v>
      </c>
    </row>
    <row r="75" spans="2:10" ht="20" customHeight="1" x14ac:dyDescent="0.3">
      <c r="F75" s="208" t="s">
        <v>71</v>
      </c>
      <c r="G75" s="221">
        <f t="shared" ref="G75:G80" si="17" xml:space="preserve"> SUMIF($G$21:$G$35, +F75,$W$21:$W$35)*$D$71</f>
        <v>0</v>
      </c>
      <c r="H75" s="220">
        <f>+G75/$G$71</f>
        <v>0</v>
      </c>
    </row>
    <row r="76" spans="2:10" ht="20" customHeight="1" x14ac:dyDescent="0.3">
      <c r="F76" s="208" t="s">
        <v>72</v>
      </c>
      <c r="G76" s="221">
        <f t="shared" si="17"/>
        <v>0</v>
      </c>
      <c r="H76" s="220">
        <f t="shared" ref="H76:H81" si="18">+G76/$G$71</f>
        <v>0</v>
      </c>
    </row>
    <row r="77" spans="2:10" ht="20" customHeight="1" x14ac:dyDescent="0.3">
      <c r="F77" s="208" t="s">
        <v>73</v>
      </c>
      <c r="G77" s="221">
        <f t="shared" si="17"/>
        <v>0</v>
      </c>
      <c r="H77" s="220">
        <f t="shared" si="18"/>
        <v>0</v>
      </c>
    </row>
    <row r="78" spans="2:10" ht="20" customHeight="1" x14ac:dyDescent="0.3">
      <c r="F78" s="208" t="s">
        <v>74</v>
      </c>
      <c r="G78" s="221">
        <f t="shared" si="17"/>
        <v>0</v>
      </c>
      <c r="H78" s="220">
        <f t="shared" si="18"/>
        <v>0</v>
      </c>
    </row>
    <row r="79" spans="2:10" ht="20" customHeight="1" x14ac:dyDescent="0.3">
      <c r="F79" s="208" t="s">
        <v>75</v>
      </c>
      <c r="G79" s="221">
        <f t="shared" si="17"/>
        <v>0</v>
      </c>
      <c r="H79" s="220">
        <f t="shared" si="18"/>
        <v>0</v>
      </c>
    </row>
    <row r="80" spans="2:10" ht="20" customHeight="1" x14ac:dyDescent="0.3">
      <c r="F80" s="208" t="s">
        <v>76</v>
      </c>
      <c r="G80" s="221">
        <f t="shared" si="17"/>
        <v>0</v>
      </c>
      <c r="H80" s="220">
        <f t="shared" si="18"/>
        <v>0</v>
      </c>
    </row>
    <row r="81" spans="2:10" ht="20" customHeight="1" x14ac:dyDescent="0.3">
      <c r="F81" s="208" t="s">
        <v>146</v>
      </c>
      <c r="G81" s="223">
        <f>+SUM(G75:G80)</f>
        <v>0</v>
      </c>
      <c r="H81" s="220">
        <f t="shared" si="18"/>
        <v>0</v>
      </c>
    </row>
    <row r="82" spans="2:10" ht="13.5" thickBot="1" x14ac:dyDescent="0.35"/>
    <row r="83" spans="2:10" ht="30" customHeight="1" thickBot="1" x14ac:dyDescent="0.35">
      <c r="B83" s="191"/>
      <c r="C83" s="446" t="s">
        <v>149</v>
      </c>
      <c r="D83" s="446"/>
      <c r="E83" s="192"/>
      <c r="F83" s="192"/>
      <c r="G83" s="192"/>
      <c r="H83" s="192"/>
      <c r="I83" s="216"/>
      <c r="J83" s="193"/>
    </row>
    <row r="84" spans="2:10" ht="25.25" customHeight="1" x14ac:dyDescent="0.3">
      <c r="C84" s="208" t="s">
        <v>150</v>
      </c>
      <c r="D84" s="195">
        <f>SUMPRODUCT((LEFT(G21:G35, 8)="Roboshot") / (COUNTIF(G21:G35, G21:G35 &amp; "") + (G21:G35="")))</f>
        <v>0</v>
      </c>
      <c r="E84" s="447" t="s">
        <v>90</v>
      </c>
      <c r="F84" s="447"/>
      <c r="G84" s="218">
        <v>0.20833333333333334</v>
      </c>
    </row>
    <row r="85" spans="2:10" x14ac:dyDescent="0.3">
      <c r="C85" s="208"/>
      <c r="D85" s="195"/>
      <c r="E85" s="447" t="s">
        <v>97</v>
      </c>
      <c r="F85" s="447"/>
      <c r="G85" s="195">
        <v>12</v>
      </c>
      <c r="H85" s="219" t="s">
        <v>23</v>
      </c>
    </row>
    <row r="87" spans="2:10" x14ac:dyDescent="0.3">
      <c r="G87" s="222" t="s">
        <v>96</v>
      </c>
      <c r="H87" s="139" t="s">
        <v>23</v>
      </c>
    </row>
    <row r="88" spans="2:10" x14ac:dyDescent="0.3">
      <c r="F88" s="208" t="s">
        <v>77</v>
      </c>
      <c r="G88" s="221">
        <f xml:space="preserve"> SUMIF($G$21:$G$35, +F88,$X$21:$X$35)</f>
        <v>0</v>
      </c>
      <c r="H88" s="220">
        <f>+G88/$G$85</f>
        <v>0</v>
      </c>
    </row>
    <row r="89" spans="2:10" x14ac:dyDescent="0.3">
      <c r="F89" s="208" t="s">
        <v>78</v>
      </c>
      <c r="G89" s="221">
        <f xml:space="preserve"> SUMIF($G$21:$G$35, +F89,$X$21:$X$35)</f>
        <v>0</v>
      </c>
      <c r="H89" s="220">
        <f t="shared" ref="H89:H90" si="19">+G89/$G$85</f>
        <v>0</v>
      </c>
    </row>
    <row r="90" spans="2:10" x14ac:dyDescent="0.3">
      <c r="F90" s="208" t="s">
        <v>79</v>
      </c>
      <c r="G90" s="221">
        <f xml:space="preserve"> SUMIF($G$21:$G$35, +F90,$X$21:$X$35)</f>
        <v>0</v>
      </c>
      <c r="H90" s="220">
        <f t="shared" si="19"/>
        <v>0</v>
      </c>
    </row>
    <row r="91" spans="2:10" x14ac:dyDescent="0.3">
      <c r="F91" s="208" t="s">
        <v>146</v>
      </c>
      <c r="G91" s="223">
        <f>+SUM(G88:G90)</f>
        <v>0</v>
      </c>
      <c r="H91" s="220">
        <f>+G91/$G$85</f>
        <v>0</v>
      </c>
    </row>
  </sheetData>
  <mergeCells count="38">
    <mergeCell ref="C39:D39"/>
    <mergeCell ref="G39:H39"/>
    <mergeCell ref="I39:J39"/>
    <mergeCell ref="K39:L39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  <mergeCell ref="E58:F58"/>
    <mergeCell ref="E59:F59"/>
    <mergeCell ref="C55:D55"/>
    <mergeCell ref="E56:F56"/>
    <mergeCell ref="E40:F40"/>
    <mergeCell ref="E41:F41"/>
    <mergeCell ref="E42:F42"/>
    <mergeCell ref="E45:G45"/>
    <mergeCell ref="E46:G46"/>
    <mergeCell ref="E47:G47"/>
    <mergeCell ref="E49:G49"/>
    <mergeCell ref="E50:G50"/>
    <mergeCell ref="E51:G51"/>
    <mergeCell ref="E53:G53"/>
    <mergeCell ref="E57:F57"/>
    <mergeCell ref="E84:F84"/>
    <mergeCell ref="E85:F85"/>
    <mergeCell ref="C69:D69"/>
    <mergeCell ref="E70:F70"/>
    <mergeCell ref="E72:F72"/>
    <mergeCell ref="E73:F73"/>
    <mergeCell ref="C83:D83"/>
    <mergeCell ref="E71:F71"/>
  </mergeCells>
  <conditionalFormatting sqref="H41:H42 J41:J42">
    <cfRule type="cellIs" dxfId="839" priority="13" operator="greaterThan">
      <formula>0.9</formula>
    </cfRule>
    <cfRule type="cellIs" dxfId="838" priority="14" operator="between">
      <formula>0.81</formula>
      <formula>0.89</formula>
    </cfRule>
    <cfRule type="cellIs" dxfId="837" priority="15" operator="lessThan">
      <formula>0.8</formula>
    </cfRule>
  </conditionalFormatting>
  <conditionalFormatting sqref="H58:H59">
    <cfRule type="cellIs" dxfId="836" priority="16" operator="greaterThan">
      <formula>0.9</formula>
    </cfRule>
    <cfRule type="cellIs" dxfId="835" priority="17" operator="between">
      <formula>0.81</formula>
      <formula>0.89</formula>
    </cfRule>
    <cfRule type="cellIs" dxfId="834" priority="18" operator="lessThan">
      <formula>0.8</formula>
    </cfRule>
  </conditionalFormatting>
  <conditionalFormatting sqref="H61:H67">
    <cfRule type="cellIs" dxfId="833" priority="19" operator="greaterThan">
      <formula>0.9</formula>
    </cfRule>
    <cfRule type="cellIs" dxfId="832" priority="20" operator="between">
      <formula>0.81</formula>
      <formula>0.89</formula>
    </cfRule>
    <cfRule type="cellIs" dxfId="831" priority="21" operator="lessThan">
      <formula>0.8</formula>
    </cfRule>
  </conditionalFormatting>
  <conditionalFormatting sqref="H72:H73">
    <cfRule type="cellIs" dxfId="830" priority="7" operator="greaterThan">
      <formula>0.9</formula>
    </cfRule>
    <cfRule type="cellIs" dxfId="829" priority="8" operator="between">
      <formula>0.81</formula>
      <formula>0.89</formula>
    </cfRule>
    <cfRule type="cellIs" dxfId="828" priority="9" operator="lessThan">
      <formula>0.8</formula>
    </cfRule>
  </conditionalFormatting>
  <conditionalFormatting sqref="H75:H81">
    <cfRule type="cellIs" dxfId="827" priority="10" operator="greaterThan">
      <formula>0.9</formula>
    </cfRule>
    <cfRule type="cellIs" dxfId="826" priority="11" operator="between">
      <formula>0.81</formula>
      <formula>0.89</formula>
    </cfRule>
    <cfRule type="cellIs" dxfId="825" priority="12" operator="lessThan">
      <formula>0.8</formula>
    </cfRule>
  </conditionalFormatting>
  <conditionalFormatting sqref="H88:H91">
    <cfRule type="cellIs" dxfId="824" priority="4" operator="greaterThan">
      <formula>0.9</formula>
    </cfRule>
    <cfRule type="cellIs" dxfId="823" priority="5" operator="between">
      <formula>0.81</formula>
      <formula>0.89</formula>
    </cfRule>
    <cfRule type="cellIs" dxfId="822" priority="6" operator="lessThan">
      <formula>0.8</formula>
    </cfRule>
  </conditionalFormatting>
  <conditionalFormatting sqref="L41:L42">
    <cfRule type="cellIs" dxfId="821" priority="1" operator="greaterThan">
      <formula>0.9</formula>
    </cfRule>
    <cfRule type="cellIs" dxfId="820" priority="2" operator="between">
      <formula>0.81</formula>
      <formula>0.89</formula>
    </cfRule>
    <cfRule type="cellIs" dxfId="819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482CD140-083B-44C8-9C6D-1C319CA4759D}">
          <x14:formula1>
            <xm:f>Datos!$B$3:$B$8</xm:f>
          </x14:formula1>
          <xm:sqref>E21:E28 E31:E37</xm:sqref>
        </x14:dataValidation>
        <x14:dataValidation type="list" allowBlank="1" showInputMessage="1" showErrorMessage="1" xr:uid="{D3487B73-3E1B-49F1-93B5-341FB85AA800}">
          <x14:formula1>
            <xm:f>Datos!$D$3:$D$27</xm:f>
          </x14:formula1>
          <xm:sqref>F21:F28 F31:F37</xm:sqref>
        </x14:dataValidation>
        <x14:dataValidation type="list" allowBlank="1" showInputMessage="1" showErrorMessage="1" xr:uid="{B5C72709-8FB9-4B5F-BDE7-FF74CC007E3F}">
          <x14:formula1>
            <xm:f>Datos!$W$3:$W$12</xm:f>
          </x14:formula1>
          <xm:sqref>L21:L28 L31:L37</xm:sqref>
        </x14:dataValidation>
        <x14:dataValidation type="list" allowBlank="1" showInputMessage="1" showErrorMessage="1" xr:uid="{BA88F85F-259F-4568-B245-338892D84DF7}">
          <x14:formula1>
            <xm:f>Datos!$F$3:$F$41</xm:f>
          </x14:formula1>
          <xm:sqref>G21:G28 G31:G37</xm:sqref>
        </x14:dataValidation>
        <x14:dataValidation type="list" allowBlank="1" showInputMessage="1" showErrorMessage="1" xr:uid="{AAD0C161-B778-4E5E-9675-66CD9CC174EA}">
          <x14:formula1>
            <xm:f>Datos!$H$3:$H$26</xm:f>
          </x14:formula1>
          <xm:sqref>D28 D36:D37</xm:sqref>
        </x14:dataValidation>
        <x14:dataValidation type="list" allowBlank="1" showInputMessage="1" showErrorMessage="1" xr:uid="{1C358446-6F23-4E0C-A7B0-690C4AD808F6}">
          <x14:formula1>
            <xm:f>Datos!$H$3:$H$34</xm:f>
          </x14:formula1>
          <xm:sqref>D31:D35 D21:D27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608E8-79B6-465B-B253-588BA3E6B9F1}">
  <sheetPr>
    <pageSetUpPr fitToPage="1"/>
  </sheetPr>
  <dimension ref="B1:X91"/>
  <sheetViews>
    <sheetView showGridLines="0" topLeftCell="A19" zoomScale="70" zoomScaleNormal="70" zoomScaleSheetLayoutView="50" workbookViewId="0">
      <pane xSplit="3" ySplit="2" topLeftCell="D33" activePane="bottomRight" state="frozen"/>
      <selection activeCell="M54" sqref="M54"/>
      <selection pane="topRight" activeCell="M54" sqref="M54"/>
      <selection pane="bottomLeft" activeCell="M54" sqref="M54"/>
      <selection pane="bottomRight" activeCell="M54" sqref="M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25.81640625" style="134" bestFit="1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453125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+G41</f>
        <v>0.52430555555555558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+H42</f>
        <v>0.83333333333333337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+G67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+G81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+G91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57</v>
      </c>
      <c r="E21" s="172" t="s">
        <v>6</v>
      </c>
      <c r="F21" s="172" t="s">
        <v>167</v>
      </c>
      <c r="G21" s="172" t="s">
        <v>203</v>
      </c>
      <c r="H21" s="174">
        <v>0.89583333333333337</v>
      </c>
      <c r="I21" s="174">
        <v>0.96527777777777779</v>
      </c>
      <c r="J21" s="175">
        <f t="shared" ref="J21:J24" si="0">MOD(I21-H21, 1)</f>
        <v>6.944444444444442E-2</v>
      </c>
      <c r="K21" s="178">
        <v>52</v>
      </c>
      <c r="L21" s="177" t="s">
        <v>129</v>
      </c>
      <c r="M21" s="178">
        <v>4</v>
      </c>
      <c r="N21" s="179">
        <v>1</v>
      </c>
      <c r="O21" s="225"/>
      <c r="P21" s="181"/>
      <c r="Q21" s="174"/>
      <c r="R21" s="174"/>
      <c r="S21" s="175">
        <f>+MOD(R21-Q21,1)</f>
        <v>0</v>
      </c>
      <c r="U21" s="182">
        <f>+IFERROR(VLOOKUP(D21,Datos!$R$3:$T$19,3,FALSE), "0")*N21</f>
        <v>8.6138049058756397E-2</v>
      </c>
      <c r="V21" s="183">
        <f>IF(OR(D21="Perforación de Fortificación", D21="Perforación de Avance", D21="Perforación Desquinche"), K21*M21, "")</f>
        <v>208</v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59</v>
      </c>
      <c r="E22" s="172" t="s">
        <v>6</v>
      </c>
      <c r="F22" s="172" t="s">
        <v>167</v>
      </c>
      <c r="G22" s="172" t="s">
        <v>211</v>
      </c>
      <c r="H22" s="174">
        <v>0.96527777777777779</v>
      </c>
      <c r="I22" s="174">
        <v>2.0833333333333332E-2</v>
      </c>
      <c r="J22" s="175">
        <f t="shared" si="0"/>
        <v>5.555555555555558E-2</v>
      </c>
      <c r="K22" s="178"/>
      <c r="L22" s="177"/>
      <c r="M22" s="178"/>
      <c r="N22" s="179">
        <v>0.5</v>
      </c>
      <c r="O22" s="225"/>
      <c r="P22" s="181"/>
      <c r="Q22" s="174"/>
      <c r="R22" s="172"/>
      <c r="S22" s="175">
        <f t="shared" ref="S22:S28" si="1">+MOD(R22-Q22,1)</f>
        <v>0</v>
      </c>
      <c r="U22" s="182">
        <f>+IFERROR(VLOOKUP(D22,Datos!$R$3:$T$19,3,FALSE), "0")*N22</f>
        <v>2.8522532800912713E-3</v>
      </c>
      <c r="V22" s="183" t="str">
        <f t="shared" ref="V22:V28" si="2">IF(OR(D22="Perforación de Fortificación", D22="Perforación de Avance", D22="Perforación Desquinche"), K22*M22, "")</f>
        <v/>
      </c>
      <c r="W22" s="183" t="str">
        <f t="shared" ref="W22:W28" si="3">IF(D22="Extracción de Marina Disparo",K22,"")</f>
        <v/>
      </c>
      <c r="X22" s="183" t="str">
        <f t="shared" ref="X22:X28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54</v>
      </c>
      <c r="E23" s="172" t="s">
        <v>6</v>
      </c>
      <c r="F23" s="172" t="s">
        <v>167</v>
      </c>
      <c r="G23" s="172" t="s">
        <v>211</v>
      </c>
      <c r="H23" s="174">
        <v>4.8611111111111112E-2</v>
      </c>
      <c r="I23" s="174">
        <v>0.18055555555555555</v>
      </c>
      <c r="J23" s="175">
        <f t="shared" si="0"/>
        <v>0.13194444444444445</v>
      </c>
      <c r="K23" s="178">
        <v>52</v>
      </c>
      <c r="L23" s="177" t="s">
        <v>125</v>
      </c>
      <c r="M23" s="178">
        <v>4</v>
      </c>
      <c r="N23" s="179">
        <v>1</v>
      </c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0.17798060467769536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59</v>
      </c>
      <c r="E24" s="172" t="s">
        <v>6</v>
      </c>
      <c r="F24" s="172" t="s">
        <v>167</v>
      </c>
      <c r="G24" s="172" t="s">
        <v>213</v>
      </c>
      <c r="H24" s="174">
        <v>0.2013888888888889</v>
      </c>
      <c r="I24" s="174">
        <v>0.26041666666666669</v>
      </c>
      <c r="J24" s="175">
        <f t="shared" si="0"/>
        <v>5.902777777777779E-2</v>
      </c>
      <c r="K24" s="178"/>
      <c r="L24" s="177"/>
      <c r="M24" s="178"/>
      <c r="N24" s="179">
        <v>0.5</v>
      </c>
      <c r="O24" s="186" t="s">
        <v>356</v>
      </c>
      <c r="P24" s="181"/>
      <c r="Q24" s="174"/>
      <c r="R24" s="174"/>
      <c r="S24" s="175"/>
      <c r="U24" s="182">
        <f>+IFERROR(VLOOKUP(D24,Datos!$R$3:$T$19,3,FALSE), "0")*N24</f>
        <v>2.8522532800912713E-3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172</v>
      </c>
      <c r="E25" s="172" t="s">
        <v>6</v>
      </c>
      <c r="F25" s="172" t="s">
        <v>167</v>
      </c>
      <c r="G25" s="172" t="s">
        <v>211</v>
      </c>
      <c r="H25" s="174">
        <v>2.0833333333333332E-2</v>
      </c>
      <c r="I25" s="174">
        <v>0.10416666666666667</v>
      </c>
      <c r="J25" s="175">
        <f>MOD(I25-H25, 1)</f>
        <v>8.3333333333333343E-2</v>
      </c>
      <c r="K25" s="178"/>
      <c r="L25" s="177"/>
      <c r="M25" s="178"/>
      <c r="N25" s="179">
        <v>1</v>
      </c>
      <c r="O25" s="225" t="s">
        <v>357</v>
      </c>
      <c r="P25" s="181"/>
      <c r="Q25" s="172"/>
      <c r="R25" s="172"/>
      <c r="S25" s="175">
        <f>+MOD(R25-Q25,1)</f>
        <v>0</v>
      </c>
      <c r="U25" s="182">
        <f>+IFERROR(VLOOKUP(D25,Datos!$R$3:$T$19,3,FALSE), "0")*N25</f>
        <v>0</v>
      </c>
      <c r="V25" s="183" t="str">
        <f>IF(OR(D25="Perforación de Fortificación", D25="Perforación de Avance", D25="Perforación Desquinche"), K25*M25, "")</f>
        <v/>
      </c>
      <c r="W25" s="183" t="str">
        <f>IF(D25="Extracción de Marina Disparo",K25,"")</f>
        <v/>
      </c>
      <c r="X25" s="183" t="str">
        <f>IF(OR(D25="Shotcrete", D25="Pre Shotcrete"), K25, "")</f>
        <v/>
      </c>
    </row>
    <row r="26" spans="2:24" ht="38" customHeight="1" x14ac:dyDescent="0.3">
      <c r="B26" s="172">
        <v>3500</v>
      </c>
      <c r="C26" s="173" t="str">
        <f>+Datos!$R$2</f>
        <v>Ciclo Minero 10,0 x 7,2 m
Galería Inyección Principal</v>
      </c>
      <c r="D26" s="173" t="s">
        <v>105</v>
      </c>
      <c r="E26" s="172" t="s">
        <v>6</v>
      </c>
      <c r="F26" s="172" t="s">
        <v>167</v>
      </c>
      <c r="G26" s="172" t="s">
        <v>204</v>
      </c>
      <c r="H26" s="174">
        <v>0.2013888888888889</v>
      </c>
      <c r="I26" s="174">
        <v>0.3263888888888889</v>
      </c>
      <c r="J26" s="175">
        <f>MOD(I26-H26, 1)</f>
        <v>0.125</v>
      </c>
      <c r="K26" s="178">
        <v>40</v>
      </c>
      <c r="L26" s="177" t="s">
        <v>128</v>
      </c>
      <c r="M26" s="178"/>
      <c r="N26" s="179">
        <v>1</v>
      </c>
      <c r="O26" s="186" t="s">
        <v>358</v>
      </c>
      <c r="P26" s="181"/>
      <c r="Q26" s="174"/>
      <c r="R26" s="174"/>
      <c r="S26" s="175"/>
      <c r="U26" s="182"/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ht="37.75" customHeight="1" x14ac:dyDescent="0.3">
      <c r="B27" s="172"/>
      <c r="C27" s="173"/>
      <c r="D27" s="173"/>
      <c r="E27" s="172"/>
      <c r="F27" s="172"/>
      <c r="G27" s="172"/>
      <c r="H27" s="174"/>
      <c r="I27" s="174"/>
      <c r="J27" s="175"/>
      <c r="K27" s="178"/>
      <c r="L27" s="177"/>
      <c r="M27" s="178"/>
      <c r="N27" s="179"/>
      <c r="O27" s="225"/>
      <c r="P27" s="181"/>
      <c r="Q27" s="172"/>
      <c r="R27" s="172"/>
      <c r="S27" s="175">
        <f t="shared" si="1"/>
        <v>0</v>
      </c>
      <c r="U27" s="182"/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 t="s">
        <v>329</v>
      </c>
      <c r="J28" s="175">
        <f>MOD(I26-H21, 1)</f>
        <v>0.43055555555555558</v>
      </c>
      <c r="K28" s="178"/>
      <c r="L28" s="177"/>
      <c r="M28" s="178"/>
      <c r="N28" s="179"/>
      <c r="O28" s="186" t="s">
        <v>348</v>
      </c>
      <c r="P28" s="172"/>
      <c r="Q28" s="172"/>
      <c r="R28" s="172"/>
      <c r="S28" s="175">
        <f t="shared" si="1"/>
        <v>0</v>
      </c>
      <c r="U28" s="182">
        <f>SUM(U21:U27)</f>
        <v>0.26982316029663428</v>
      </c>
      <c r="V28" s="183" t="str">
        <f t="shared" si="2"/>
        <v/>
      </c>
      <c r="W28" s="183" t="str">
        <f t="shared" si="3"/>
        <v/>
      </c>
      <c r="X28" s="183" t="str">
        <f t="shared" si="4"/>
        <v/>
      </c>
    </row>
    <row r="29" spans="2:24" x14ac:dyDescent="0.3">
      <c r="B29" s="185" t="s">
        <v>158</v>
      </c>
      <c r="C29" s="63" t="s">
        <v>194</v>
      </c>
      <c r="D29" s="63"/>
      <c r="E29" s="63"/>
      <c r="F29" s="63"/>
      <c r="G29" s="63"/>
      <c r="H29" s="63"/>
      <c r="I29" s="63"/>
      <c r="J29" s="64"/>
      <c r="K29" s="64"/>
      <c r="L29" s="171"/>
      <c r="M29" s="63"/>
      <c r="N29" s="64"/>
      <c r="O29" s="64"/>
      <c r="P29" s="63"/>
      <c r="Q29" s="63"/>
      <c r="R29" s="63"/>
      <c r="S29" s="64"/>
      <c r="U29" s="63"/>
      <c r="V29" s="64"/>
      <c r="W29" s="64"/>
      <c r="X29" s="64"/>
    </row>
    <row r="30" spans="2:24" ht="52" x14ac:dyDescent="0.3">
      <c r="B30" s="63" t="s">
        <v>3</v>
      </c>
      <c r="C30" s="63" t="s">
        <v>2</v>
      </c>
      <c r="D30" s="63" t="s">
        <v>5</v>
      </c>
      <c r="E30" s="63" t="s">
        <v>22</v>
      </c>
      <c r="F30" s="63" t="s">
        <v>139</v>
      </c>
      <c r="G30" s="63" t="s">
        <v>29</v>
      </c>
      <c r="H30" s="63" t="s">
        <v>121</v>
      </c>
      <c r="I30" s="63" t="s">
        <v>4</v>
      </c>
      <c r="J30" s="64" t="s">
        <v>122</v>
      </c>
      <c r="K30" s="64" t="s">
        <v>131</v>
      </c>
      <c r="L30" s="171" t="s">
        <v>123</v>
      </c>
      <c r="M30" s="63" t="s">
        <v>134</v>
      </c>
      <c r="N30" s="64" t="s">
        <v>24</v>
      </c>
      <c r="O30" s="64" t="s">
        <v>130</v>
      </c>
      <c r="P30" s="63" t="s">
        <v>132</v>
      </c>
      <c r="Q30" s="63" t="s">
        <v>121</v>
      </c>
      <c r="R30" s="63" t="s">
        <v>4</v>
      </c>
      <c r="S30" s="64" t="s">
        <v>137</v>
      </c>
      <c r="U30" s="63" t="s">
        <v>109</v>
      </c>
      <c r="V30" s="64" t="s">
        <v>87</v>
      </c>
      <c r="W30" s="64" t="s">
        <v>128</v>
      </c>
      <c r="X30" s="64" t="s">
        <v>128</v>
      </c>
    </row>
    <row r="31" spans="2:24" ht="38" customHeight="1" x14ac:dyDescent="0.3">
      <c r="B31" s="172">
        <v>3700</v>
      </c>
      <c r="C31" s="173" t="str">
        <f>+Datos!R23</f>
        <v>Ciclo Minero 5,2 x 5,6 m
Galería Acceso Portal de Servicio</v>
      </c>
      <c r="D31" s="173" t="s">
        <v>104</v>
      </c>
      <c r="E31" s="172" t="s">
        <v>6</v>
      </c>
      <c r="F31" s="172" t="s">
        <v>168</v>
      </c>
      <c r="G31" s="172" t="s">
        <v>212</v>
      </c>
      <c r="H31" s="174">
        <v>0.875</v>
      </c>
      <c r="I31" s="174">
        <v>0.9375</v>
      </c>
      <c r="J31" s="175">
        <f t="shared" ref="J31:J34" si="5">MOD(I31-H31, 1)</f>
        <v>6.25E-2</v>
      </c>
      <c r="K31" s="178">
        <v>9</v>
      </c>
      <c r="L31" s="177" t="s">
        <v>128</v>
      </c>
      <c r="M31" s="178"/>
      <c r="N31" s="179">
        <v>0</v>
      </c>
      <c r="O31" s="225" t="s">
        <v>353</v>
      </c>
      <c r="P31" s="173"/>
      <c r="Q31" s="174"/>
      <c r="R31" s="174"/>
      <c r="S31" s="175">
        <f t="shared" ref="S31:S32" si="6">MOD(R31-Q31, 1)</f>
        <v>0</v>
      </c>
      <c r="U31" s="187">
        <f>+IFERROR(VLOOKUP(D31,Datos!$R$24:$T$40,3,FALSE), "0")*N31</f>
        <v>0</v>
      </c>
      <c r="V31" s="183" t="str">
        <f t="shared" ref="V31:V37" si="7">IF(OR(D31="Perforación de Fortificación", D31="Perforación de Avance", D31="Perforación Desquinche"), K31*M31, "")</f>
        <v/>
      </c>
      <c r="W31" s="183">
        <f>IF(D31="Extracción de Marina Disparo",K31,"")</f>
        <v>9</v>
      </c>
      <c r="X31" s="183" t="str">
        <f t="shared" ref="X31:X37" si="8">IF(OR(D31="Shotcrete", D31="Pre Shotcrete"), K31, "")</f>
        <v/>
      </c>
    </row>
    <row r="32" spans="2:24" ht="53.4" customHeight="1" x14ac:dyDescent="0.3">
      <c r="B32" s="172">
        <v>3700</v>
      </c>
      <c r="C32" s="173" t="str">
        <f>+C31</f>
        <v>Ciclo Minero 5,2 x 5,6 m
Galería Acceso Portal de Servicio</v>
      </c>
      <c r="D32" s="173" t="s">
        <v>56</v>
      </c>
      <c r="E32" s="172" t="s">
        <v>6</v>
      </c>
      <c r="F32" s="172" t="s">
        <v>168</v>
      </c>
      <c r="G32" s="172" t="s">
        <v>213</v>
      </c>
      <c r="H32" s="174">
        <v>0.9375</v>
      </c>
      <c r="I32" s="174">
        <v>3.4722222222222224E-2</v>
      </c>
      <c r="J32" s="175">
        <f t="shared" si="5"/>
        <v>9.722222222222221E-2</v>
      </c>
      <c r="K32" s="178"/>
      <c r="L32" s="177"/>
      <c r="M32" s="178"/>
      <c r="N32" s="179">
        <v>1</v>
      </c>
      <c r="O32" s="225" t="s">
        <v>354</v>
      </c>
      <c r="P32" s="181"/>
      <c r="Q32" s="174"/>
      <c r="R32" s="174"/>
      <c r="S32" s="175">
        <f t="shared" si="6"/>
        <v>0</v>
      </c>
      <c r="U32" s="187">
        <f>+IFERROR(VLOOKUP(D32,Datos!$R$24:$T$40,3,FALSE), "0")*N32</f>
        <v>5.5718475073313775E-2</v>
      </c>
      <c r="V32" s="183" t="str">
        <f t="shared" si="7"/>
        <v/>
      </c>
      <c r="W32" s="183" t="str">
        <f t="shared" ref="W32:W37" si="9">IF(D32="Extracción de Marina Disparo",K32,"")</f>
        <v/>
      </c>
      <c r="X32" s="183" t="str">
        <f t="shared" si="8"/>
        <v/>
      </c>
    </row>
    <row r="33" spans="2:24" ht="38" customHeight="1" x14ac:dyDescent="0.3">
      <c r="B33" s="172">
        <v>3700</v>
      </c>
      <c r="C33" s="173" t="str">
        <f>+C32</f>
        <v>Ciclo Minero 5,2 x 5,6 m
Galería Acceso Portal de Servicio</v>
      </c>
      <c r="D33" s="173" t="s">
        <v>57</v>
      </c>
      <c r="E33" s="172" t="s">
        <v>6</v>
      </c>
      <c r="F33" s="172" t="s">
        <v>168</v>
      </c>
      <c r="G33" s="172" t="s">
        <v>212</v>
      </c>
      <c r="H33" s="174">
        <v>9.7222222222222224E-2</v>
      </c>
      <c r="I33" s="174">
        <v>0.24305555555555555</v>
      </c>
      <c r="J33" s="175">
        <f t="shared" si="5"/>
        <v>0.14583333333333331</v>
      </c>
      <c r="K33" s="178">
        <v>45</v>
      </c>
      <c r="L33" s="177" t="s">
        <v>129</v>
      </c>
      <c r="M33" s="178">
        <v>3</v>
      </c>
      <c r="N33" s="179">
        <v>1</v>
      </c>
      <c r="O33" s="186" t="s">
        <v>355</v>
      </c>
      <c r="P33" s="172"/>
      <c r="Q33" s="172"/>
      <c r="R33" s="172"/>
      <c r="S33" s="175">
        <f t="shared" ref="S33:S37" si="10">+MOD(R33-Q33,1)</f>
        <v>0</v>
      </c>
      <c r="U33" s="187">
        <f>+IFERROR(VLOOKUP(D33,Datos!$R$24:$T$40,3,FALSE), "0")*N33</f>
        <v>7.42913000977517E-2</v>
      </c>
      <c r="V33" s="183">
        <f t="shared" si="7"/>
        <v>135</v>
      </c>
      <c r="W33" s="183" t="str">
        <f t="shared" si="9"/>
        <v/>
      </c>
      <c r="X33" s="183"/>
    </row>
    <row r="34" spans="2:24" ht="38" customHeight="1" x14ac:dyDescent="0.3">
      <c r="B34" s="172">
        <v>3700</v>
      </c>
      <c r="C34" s="173" t="str">
        <f>+C33</f>
        <v>Ciclo Minero 5,2 x 5,6 m
Galería Acceso Portal de Servicio</v>
      </c>
      <c r="D34" s="173" t="s">
        <v>54</v>
      </c>
      <c r="E34" s="172" t="s">
        <v>6</v>
      </c>
      <c r="F34" s="172" t="s">
        <v>168</v>
      </c>
      <c r="G34" s="172" t="s">
        <v>212</v>
      </c>
      <c r="H34" s="174">
        <v>0.24305555555555555</v>
      </c>
      <c r="I34" s="174">
        <v>0.2986111111111111</v>
      </c>
      <c r="J34" s="175">
        <f t="shared" si="5"/>
        <v>5.5555555555555552E-2</v>
      </c>
      <c r="K34" s="178">
        <v>45</v>
      </c>
      <c r="L34" s="177" t="s">
        <v>125</v>
      </c>
      <c r="M34" s="178">
        <v>3</v>
      </c>
      <c r="N34" s="179">
        <v>1</v>
      </c>
      <c r="O34" s="186"/>
      <c r="P34" s="181"/>
      <c r="Q34" s="174"/>
      <c r="R34" s="174"/>
      <c r="S34" s="175">
        <f t="shared" si="10"/>
        <v>0</v>
      </c>
      <c r="U34" s="187">
        <f>+IFERROR(VLOOKUP(D34,Datos!$R$24:$T$40,3,FALSE), "0")*N34</f>
        <v>0.14662756598240467</v>
      </c>
      <c r="V34" s="183" t="str">
        <f t="shared" si="7"/>
        <v/>
      </c>
      <c r="W34" s="183" t="str">
        <f t="shared" si="9"/>
        <v/>
      </c>
      <c r="X34" s="183" t="str">
        <f t="shared" si="8"/>
        <v/>
      </c>
    </row>
    <row r="35" spans="2:24" ht="38" customHeight="1" x14ac:dyDescent="0.3">
      <c r="B35" s="172">
        <v>3700</v>
      </c>
      <c r="C35" s="173" t="str">
        <f>+C34</f>
        <v>Ciclo Minero 5,2 x 5,6 m
Galería Acceso Portal de Servicio</v>
      </c>
      <c r="D35" s="173" t="s">
        <v>59</v>
      </c>
      <c r="E35" s="172" t="s">
        <v>6</v>
      </c>
      <c r="F35" s="172" t="s">
        <v>168</v>
      </c>
      <c r="G35" s="172"/>
      <c r="H35" s="174">
        <v>5.5555555555555552E-2</v>
      </c>
      <c r="I35" s="174">
        <v>8.3333333333333329E-2</v>
      </c>
      <c r="J35" s="175">
        <f>MOD(I35-H35, 1)</f>
        <v>2.7777777777777776E-2</v>
      </c>
      <c r="K35" s="178"/>
      <c r="L35" s="177"/>
      <c r="M35" s="178"/>
      <c r="N35" s="179">
        <v>1</v>
      </c>
      <c r="O35" s="225"/>
      <c r="P35" s="172"/>
      <c r="Q35" s="172"/>
      <c r="R35" s="172"/>
      <c r="S35" s="175">
        <f t="shared" si="10"/>
        <v>0</v>
      </c>
      <c r="U35" s="187">
        <f>+IFERROR(VLOOKUP(D35,Datos!$R$24:$T$40,3,FALSE), "0")*N35</f>
        <v>9.7751710654936444E-3</v>
      </c>
      <c r="V35" s="183" t="str">
        <f t="shared" si="7"/>
        <v/>
      </c>
      <c r="W35" s="183" t="str">
        <f t="shared" si="9"/>
        <v/>
      </c>
      <c r="X35" s="183" t="str">
        <f t="shared" si="8"/>
        <v/>
      </c>
    </row>
    <row r="36" spans="2:24" ht="38" customHeight="1" x14ac:dyDescent="0.3">
      <c r="B36" s="172">
        <v>3700</v>
      </c>
      <c r="C36" s="173" t="str">
        <f>+C35</f>
        <v>Ciclo Minero 5,2 x 5,6 m
Galería Acceso Portal de Servicio</v>
      </c>
      <c r="D36" s="173"/>
      <c r="E36" s="172"/>
      <c r="F36" s="172" t="s">
        <v>168</v>
      </c>
      <c r="G36" s="172"/>
      <c r="H36" s="174"/>
      <c r="I36" s="174"/>
      <c r="J36" s="175"/>
      <c r="K36" s="178"/>
      <c r="L36" s="177"/>
      <c r="M36" s="178"/>
      <c r="N36" s="179"/>
      <c r="O36" s="186"/>
      <c r="P36" s="172"/>
      <c r="Q36" s="172"/>
      <c r="R36" s="172"/>
      <c r="S36" s="175">
        <f t="shared" si="10"/>
        <v>0</v>
      </c>
      <c r="U36" s="184"/>
      <c r="V36" s="183" t="str">
        <f t="shared" si="7"/>
        <v/>
      </c>
      <c r="W36" s="183" t="str">
        <f t="shared" si="9"/>
        <v/>
      </c>
      <c r="X36" s="183" t="str">
        <f t="shared" si="8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 t="s">
        <v>329</v>
      </c>
      <c r="J37" s="175">
        <f>MOD(I34-H31, 1)</f>
        <v>0.42361111111111116</v>
      </c>
      <c r="K37" s="178"/>
      <c r="L37" s="177"/>
      <c r="M37" s="178"/>
      <c r="N37" s="179"/>
      <c r="O37" s="186" t="s">
        <v>348</v>
      </c>
      <c r="P37" s="172"/>
      <c r="Q37" s="172"/>
      <c r="R37" s="172"/>
      <c r="S37" s="175">
        <f t="shared" si="10"/>
        <v>0</v>
      </c>
      <c r="U37" s="182">
        <f>SUM(U31:U36)+Datos!T26+Datos!T27+Datos!T28+Datos!T29+Datos!T30+Datos!T31</f>
        <v>0.47409579667644181</v>
      </c>
      <c r="V37" s="183" t="str">
        <f t="shared" si="7"/>
        <v/>
      </c>
      <c r="W37" s="183" t="str">
        <f t="shared" si="9"/>
        <v/>
      </c>
      <c r="X37" s="183" t="str">
        <f t="shared" si="8"/>
        <v/>
      </c>
    </row>
    <row r="38" spans="2:24" ht="15.65" customHeight="1" thickBot="1" x14ac:dyDescent="0.35">
      <c r="B38" s="190"/>
      <c r="C38" s="190"/>
      <c r="D38" s="190"/>
      <c r="E38" s="190"/>
      <c r="F38" s="190"/>
      <c r="G38" s="190"/>
      <c r="H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</row>
    <row r="39" spans="2:24" ht="30" customHeight="1" thickBot="1" x14ac:dyDescent="0.35">
      <c r="B39" s="191"/>
      <c r="C39" s="446" t="s">
        <v>64</v>
      </c>
      <c r="D39" s="446"/>
      <c r="E39" s="192"/>
      <c r="F39" s="192"/>
      <c r="G39" s="431">
        <v>3500</v>
      </c>
      <c r="H39" s="432"/>
      <c r="I39" s="431">
        <v>3700</v>
      </c>
      <c r="J39" s="432"/>
      <c r="K39" s="433" t="s">
        <v>146</v>
      </c>
      <c r="L39" s="434"/>
      <c r="M39" s="190"/>
      <c r="N39" s="190"/>
      <c r="O39" s="190"/>
      <c r="P39" s="190"/>
      <c r="Q39" s="190"/>
      <c r="R39" s="190"/>
      <c r="S39" s="190"/>
    </row>
    <row r="40" spans="2:24" ht="30" customHeight="1" x14ac:dyDescent="0.3">
      <c r="C40" s="194" t="s">
        <v>48</v>
      </c>
      <c r="D40" s="195">
        <f>SUMPRODUCT((LEFT(F21:F35, 1)="C") / (COUNTIF(F21:F35, F21:F35 &amp; "") + (F21:F35="")))</f>
        <v>0</v>
      </c>
      <c r="E40" s="447" t="s">
        <v>90</v>
      </c>
      <c r="F40" s="447"/>
      <c r="G40" s="196">
        <v>0.26041666666666669</v>
      </c>
      <c r="H40" s="197" t="s">
        <v>23</v>
      </c>
      <c r="I40" s="196">
        <v>0.26041666666666669</v>
      </c>
      <c r="J40" s="197" t="s">
        <v>23</v>
      </c>
      <c r="K40" s="198">
        <f>+G40</f>
        <v>0.26041666666666669</v>
      </c>
      <c r="L40" s="197" t="s">
        <v>23</v>
      </c>
      <c r="M40" s="190"/>
      <c r="N40" s="190"/>
      <c r="O40" s="190"/>
      <c r="P40" s="190"/>
      <c r="Q40" s="190"/>
      <c r="R40" s="190"/>
      <c r="S40" s="190"/>
    </row>
    <row r="41" spans="2:24" x14ac:dyDescent="0.3">
      <c r="C41" s="194" t="s">
        <v>49</v>
      </c>
      <c r="D41" s="195">
        <f>SUMPRODUCT((LEFT(F21:F35, 1)="O") / (COUNTIF(F21:F35, F21:F35 &amp; "") + (F21:F35="")))</f>
        <v>0</v>
      </c>
      <c r="E41" s="448" t="s">
        <v>198</v>
      </c>
      <c r="F41" s="448"/>
      <c r="G41" s="199">
        <f>SUM(J21:J27)</f>
        <v>0.52430555555555558</v>
      </c>
      <c r="H41" s="200">
        <f>+G41*24/($G$40*24)</f>
        <v>2.0133333333333336</v>
      </c>
      <c r="I41" s="199">
        <f>SUM(J31:J35)</f>
        <v>0.38888888888888884</v>
      </c>
      <c r="J41" s="200">
        <f>+I41*24/($I$40*24)</f>
        <v>1.4933333333333332</v>
      </c>
      <c r="K41" s="201">
        <f>AVERAGE(G41+I41)/2</f>
        <v>0.45659722222222221</v>
      </c>
      <c r="L41" s="200">
        <f>+K41*24/($K$40*24)</f>
        <v>1.7533333333333332</v>
      </c>
      <c r="M41" s="190"/>
      <c r="N41" s="190"/>
      <c r="O41" s="190"/>
      <c r="P41" s="190"/>
      <c r="Q41" s="190"/>
      <c r="R41" s="190"/>
      <c r="S41" s="190"/>
    </row>
    <row r="42" spans="2:24" ht="43.25" customHeight="1" thickBot="1" x14ac:dyDescent="0.35">
      <c r="E42" s="448" t="s">
        <v>94</v>
      </c>
      <c r="F42" s="448"/>
      <c r="G42" s="202"/>
      <c r="H42" s="203">
        <f>+AVERAGE(N21:N28)</f>
        <v>0.83333333333333337</v>
      </c>
      <c r="I42" s="202"/>
      <c r="J42" s="203">
        <f>+AVERAGE(N31:N35)</f>
        <v>0.8</v>
      </c>
      <c r="K42" s="204"/>
      <c r="L42" s="203">
        <f>+AVERAGE(N21:N35)</f>
        <v>0.81818181818181823</v>
      </c>
    </row>
    <row r="43" spans="2:24" ht="43.25" customHeight="1" x14ac:dyDescent="0.3">
      <c r="E43" s="205"/>
      <c r="F43" s="205"/>
      <c r="G43" s="206"/>
      <c r="H43" s="206"/>
      <c r="I43" s="137"/>
      <c r="J43" s="137"/>
      <c r="K43" s="137"/>
      <c r="L43" s="137"/>
    </row>
    <row r="44" spans="2:24" ht="43.25" customHeight="1" x14ac:dyDescent="0.3">
      <c r="E44" s="194"/>
      <c r="F44" s="194"/>
      <c r="G44" s="207"/>
      <c r="H44" s="208" t="s">
        <v>24</v>
      </c>
      <c r="I44" s="208" t="s">
        <v>199</v>
      </c>
      <c r="J44" s="208" t="s">
        <v>201</v>
      </c>
      <c r="K44" s="208" t="s">
        <v>258</v>
      </c>
      <c r="L44" s="345" t="s">
        <v>484</v>
      </c>
      <c r="M44" s="345" t="s">
        <v>485</v>
      </c>
      <c r="N44" s="208"/>
    </row>
    <row r="45" spans="2:24" ht="14.5" x14ac:dyDescent="0.35">
      <c r="E45" s="445" t="s">
        <v>174</v>
      </c>
      <c r="F45" s="445"/>
      <c r="G45" s="445"/>
      <c r="H45" s="209">
        <f>+U37</f>
        <v>0.47409579667644181</v>
      </c>
      <c r="I45" s="210">
        <f>+H45*$J$45*$K$45</f>
        <v>10.701290322580643</v>
      </c>
      <c r="J45" s="211">
        <v>6.6</v>
      </c>
      <c r="K45" s="246">
        <v>3.42</v>
      </c>
      <c r="L45" s="344">
        <v>56.080975609756102</v>
      </c>
      <c r="M45" s="344">
        <f>+L45*K45*H45</f>
        <v>90.930121450540014</v>
      </c>
    </row>
    <row r="46" spans="2:24" ht="14.4" customHeight="1" x14ac:dyDescent="0.35">
      <c r="E46" s="445" t="s">
        <v>224</v>
      </c>
      <c r="F46" s="445"/>
      <c r="G46" s="445"/>
      <c r="H46" s="209"/>
      <c r="I46" s="210">
        <f>+J46*K46</f>
        <v>0</v>
      </c>
      <c r="J46" s="214">
        <f>1892/1000000</f>
        <v>1.892E-3</v>
      </c>
      <c r="K46" s="246">
        <f>+((15*4.4)*2.72)*0</f>
        <v>0</v>
      </c>
      <c r="L46" s="346">
        <v>1.6919982016368774E-2</v>
      </c>
      <c r="M46" s="344">
        <f>+L46*K46</f>
        <v>0</v>
      </c>
    </row>
    <row r="47" spans="2:24" ht="14.4" customHeight="1" x14ac:dyDescent="0.35">
      <c r="E47" s="445" t="s">
        <v>298</v>
      </c>
      <c r="F47" s="445"/>
      <c r="G47" s="445"/>
      <c r="H47" s="209"/>
      <c r="I47" s="210">
        <f>SUM(I45:I46)</f>
        <v>10.701290322580643</v>
      </c>
      <c r="J47" s="214"/>
      <c r="K47" s="246"/>
      <c r="L47" s="346"/>
      <c r="M47" s="344"/>
    </row>
    <row r="48" spans="2:24" ht="14.4" customHeight="1" x14ac:dyDescent="0.35">
      <c r="E48" s="227"/>
      <c r="F48" s="227"/>
      <c r="G48" s="227"/>
      <c r="H48" s="209"/>
      <c r="I48" s="210"/>
      <c r="J48" s="214"/>
      <c r="K48" s="246"/>
      <c r="L48" s="346"/>
      <c r="M48" s="344"/>
    </row>
    <row r="49" spans="2:13" ht="14.4" customHeight="1" x14ac:dyDescent="0.35">
      <c r="E49" s="445" t="s">
        <v>175</v>
      </c>
      <c r="F49" s="445"/>
      <c r="G49" s="445"/>
      <c r="H49" s="209">
        <f>+U28</f>
        <v>0.26982316029663428</v>
      </c>
      <c r="I49" s="210">
        <f>+H49*$J$49*$K$49</f>
        <v>10.888983456930974</v>
      </c>
      <c r="J49" s="211">
        <v>11.8</v>
      </c>
      <c r="K49" s="246">
        <v>3.42</v>
      </c>
      <c r="L49" s="344">
        <v>118.52055555555555</v>
      </c>
      <c r="M49" s="344">
        <f>+L49*K49*H49</f>
        <v>109.37020074158582</v>
      </c>
    </row>
    <row r="50" spans="2:13" ht="14.4" customHeight="1" x14ac:dyDescent="0.35">
      <c r="E50" s="445" t="s">
        <v>225</v>
      </c>
      <c r="F50" s="445"/>
      <c r="G50" s="445"/>
      <c r="H50" s="209"/>
      <c r="I50" s="210">
        <f>+J50*K50</f>
        <v>0</v>
      </c>
      <c r="J50" s="214">
        <f>+J46</f>
        <v>1.892E-3</v>
      </c>
      <c r="K50" s="246">
        <f>+((15*2.8)*2.72)*0</f>
        <v>0</v>
      </c>
      <c r="L50" s="346">
        <v>1.6919982016368774E-2</v>
      </c>
      <c r="M50" s="344">
        <f>+L50*K50</f>
        <v>0</v>
      </c>
    </row>
    <row r="51" spans="2:13" ht="14.4" customHeight="1" x14ac:dyDescent="0.3">
      <c r="E51" s="445" t="s">
        <v>297</v>
      </c>
      <c r="F51" s="445"/>
      <c r="G51" s="445"/>
      <c r="H51" s="209"/>
      <c r="I51" s="210">
        <f>SUM(I49:I50)</f>
        <v>10.888983456930974</v>
      </c>
      <c r="J51" s="214"/>
      <c r="K51" s="246"/>
      <c r="L51" s="351"/>
      <c r="M51" s="349"/>
    </row>
    <row r="52" spans="2:13" ht="14.4" customHeight="1" x14ac:dyDescent="0.3">
      <c r="E52" s="227"/>
      <c r="F52" s="227"/>
      <c r="G52" s="227"/>
      <c r="H52" s="209"/>
      <c r="I52" s="210"/>
      <c r="J52" s="214"/>
      <c r="K52" s="246"/>
      <c r="L52" s="351"/>
      <c r="M52" s="349"/>
    </row>
    <row r="53" spans="2:13" ht="14.4" customHeight="1" x14ac:dyDescent="0.35">
      <c r="E53" s="445" t="s">
        <v>236</v>
      </c>
      <c r="F53" s="445"/>
      <c r="G53" s="445"/>
      <c r="H53" s="209"/>
      <c r="I53" s="210">
        <f>+J53*K53</f>
        <v>0</v>
      </c>
      <c r="J53" s="214">
        <f>25508/1000000</f>
        <v>2.5507999999999999E-2</v>
      </c>
      <c r="K53" s="246">
        <f>14.43*0</f>
        <v>0</v>
      </c>
      <c r="L53" s="347" t="s">
        <v>486</v>
      </c>
      <c r="M53" s="344"/>
    </row>
    <row r="54" spans="2:13" ht="22.75" customHeight="1" thickBot="1" x14ac:dyDescent="0.35">
      <c r="M54" s="352">
        <f>SUM(M45:M53)</f>
        <v>200.30032219212583</v>
      </c>
    </row>
    <row r="55" spans="2:13" ht="30" customHeight="1" thickBot="1" x14ac:dyDescent="0.35">
      <c r="B55" s="191"/>
      <c r="C55" s="446" t="s">
        <v>88</v>
      </c>
      <c r="D55" s="446"/>
      <c r="E55" s="192"/>
      <c r="F55" s="192"/>
      <c r="G55" s="192"/>
      <c r="H55" s="192"/>
      <c r="I55" s="216"/>
      <c r="J55" s="193"/>
    </row>
    <row r="56" spans="2:13" ht="38" customHeight="1" x14ac:dyDescent="0.3">
      <c r="C56" s="217" t="s">
        <v>89</v>
      </c>
      <c r="D56" s="195">
        <f>SUMPRODUCT((LEFT(G21:G35, 5)="Jumbo") / (COUNTIF(G21:G35, G21:G35 &amp; "") + (G21:G35="")))</f>
        <v>1</v>
      </c>
      <c r="E56" s="447" t="s">
        <v>90</v>
      </c>
      <c r="F56" s="447"/>
      <c r="G56" s="218">
        <v>0.20833333333333334</v>
      </c>
      <c r="I56" s="139"/>
      <c r="J56" s="190"/>
    </row>
    <row r="57" spans="2:13" ht="38" customHeight="1" x14ac:dyDescent="0.3">
      <c r="E57" s="447" t="s">
        <v>93</v>
      </c>
      <c r="F57" s="447"/>
      <c r="G57" s="195">
        <f>15000/(60)</f>
        <v>250</v>
      </c>
      <c r="H57" s="219" t="s">
        <v>143</v>
      </c>
      <c r="I57" s="139"/>
      <c r="J57" s="190"/>
    </row>
    <row r="58" spans="2:13" ht="38" customHeight="1" x14ac:dyDescent="0.3">
      <c r="E58" s="448" t="s">
        <v>91</v>
      </c>
      <c r="F58" s="448"/>
      <c r="G58" s="207">
        <f>+SUM(SUMIF($G$21:$G$35, "Jumbo*", $J$21:$J$35))/SUMPRODUCT((LEFT(G21:G35, 5)="Jumbo") / (COUNTIF(G21:G35, G21:G35 &amp; "") + (G21:G35="")))</f>
        <v>6.944444444444442E-2</v>
      </c>
      <c r="H58" s="220">
        <f>+G58*24/($G$56*24)</f>
        <v>0.3333333333333332</v>
      </c>
      <c r="I58" s="190"/>
      <c r="J58" s="190"/>
    </row>
    <row r="59" spans="2:13" ht="38" customHeight="1" x14ac:dyDescent="0.3">
      <c r="E59" s="448" t="s">
        <v>92</v>
      </c>
      <c r="F59" s="448"/>
      <c r="G59" s="221">
        <f>+SUM(V21:V35)/D56</f>
        <v>343</v>
      </c>
      <c r="H59" s="220">
        <f>+G59/G57</f>
        <v>1.3720000000000001</v>
      </c>
      <c r="I59" s="190"/>
      <c r="J59" s="190"/>
    </row>
    <row r="60" spans="2:13" ht="38" customHeight="1" x14ac:dyDescent="0.3">
      <c r="G60" s="222" t="s">
        <v>87</v>
      </c>
      <c r="H60" s="139" t="s">
        <v>23</v>
      </c>
    </row>
    <row r="61" spans="2:13" ht="20" customHeight="1" x14ac:dyDescent="0.3">
      <c r="F61" s="208" t="s">
        <v>65</v>
      </c>
      <c r="G61" s="221">
        <f t="shared" ref="G61:G66" si="11" xml:space="preserve"> SUMIF($G$21:$G$35, +F61,$V$21:$V$35)</f>
        <v>0</v>
      </c>
      <c r="H61" s="220">
        <f t="shared" ref="H61:H66" si="12">+G61/$G$57</f>
        <v>0</v>
      </c>
    </row>
    <row r="62" spans="2:13" ht="20" customHeight="1" x14ac:dyDescent="0.3">
      <c r="F62" s="208" t="s">
        <v>66</v>
      </c>
      <c r="G62" s="221">
        <f t="shared" si="11"/>
        <v>0</v>
      </c>
      <c r="H62" s="220">
        <f t="shared" si="12"/>
        <v>0</v>
      </c>
    </row>
    <row r="63" spans="2:13" ht="20" customHeight="1" x14ac:dyDescent="0.3">
      <c r="F63" s="208" t="s">
        <v>67</v>
      </c>
      <c r="G63" s="221">
        <f t="shared" si="11"/>
        <v>0</v>
      </c>
      <c r="H63" s="220">
        <f t="shared" si="12"/>
        <v>0</v>
      </c>
    </row>
    <row r="64" spans="2:13" ht="20" customHeight="1" x14ac:dyDescent="0.3">
      <c r="F64" s="208" t="s">
        <v>68</v>
      </c>
      <c r="G64" s="221">
        <f t="shared" si="11"/>
        <v>0</v>
      </c>
      <c r="H64" s="220">
        <f t="shared" si="12"/>
        <v>0</v>
      </c>
    </row>
    <row r="65" spans="2:10" ht="20" customHeight="1" x14ac:dyDescent="0.3">
      <c r="F65" s="208" t="s">
        <v>69</v>
      </c>
      <c r="G65" s="221">
        <f t="shared" si="11"/>
        <v>0</v>
      </c>
      <c r="H65" s="220">
        <f t="shared" si="12"/>
        <v>0</v>
      </c>
    </row>
    <row r="66" spans="2:10" ht="20" customHeight="1" x14ac:dyDescent="0.3">
      <c r="F66" s="208" t="s">
        <v>70</v>
      </c>
      <c r="G66" s="221">
        <f t="shared" si="11"/>
        <v>0</v>
      </c>
      <c r="H66" s="220">
        <f t="shared" si="12"/>
        <v>0</v>
      </c>
    </row>
    <row r="67" spans="2:10" ht="20" customHeight="1" x14ac:dyDescent="0.3">
      <c r="F67" s="208" t="s">
        <v>146</v>
      </c>
      <c r="G67" s="223">
        <f>+SUM(G61:G66)</f>
        <v>0</v>
      </c>
      <c r="H67" s="220">
        <f>+G67/($G$57*$D$56)</f>
        <v>0</v>
      </c>
    </row>
    <row r="68" spans="2:10" ht="13.5" thickBot="1" x14ac:dyDescent="0.35"/>
    <row r="69" spans="2:10" ht="30" customHeight="1" thickBot="1" x14ac:dyDescent="0.35">
      <c r="B69" s="191"/>
      <c r="C69" s="446" t="s">
        <v>107</v>
      </c>
      <c r="D69" s="446"/>
      <c r="E69" s="192"/>
      <c r="F69" s="192"/>
      <c r="G69" s="192"/>
      <c r="H69" s="192"/>
      <c r="I69" s="216"/>
      <c r="J69" s="193"/>
    </row>
    <row r="70" spans="2:10" ht="38" customHeight="1" x14ac:dyDescent="0.3">
      <c r="C70" s="208" t="s">
        <v>95</v>
      </c>
      <c r="D70" s="195">
        <f>SUMPRODUCT((LEFT(G21:G35, 5)="Scoop") / (COUNTIF(G21:G35, G21:G35 &amp; "") + (G21:G35="")))</f>
        <v>1</v>
      </c>
      <c r="E70" s="447" t="s">
        <v>90</v>
      </c>
      <c r="F70" s="447"/>
      <c r="G70" s="218">
        <v>0.20833333333333334</v>
      </c>
      <c r="I70" s="139"/>
      <c r="J70" s="190"/>
    </row>
    <row r="71" spans="2:10" ht="38" customHeight="1" x14ac:dyDescent="0.3">
      <c r="C71" s="208" t="s">
        <v>145</v>
      </c>
      <c r="D71" s="195">
        <v>4.9000000000000004</v>
      </c>
      <c r="E71" s="447" t="s">
        <v>97</v>
      </c>
      <c r="F71" s="447"/>
      <c r="G71" s="195">
        <f>15000/(60)</f>
        <v>250</v>
      </c>
      <c r="H71" s="219" t="s">
        <v>23</v>
      </c>
      <c r="I71" s="139"/>
      <c r="J71" s="190"/>
    </row>
    <row r="72" spans="2:10" ht="38" customHeight="1" x14ac:dyDescent="0.3">
      <c r="E72" s="448" t="s">
        <v>98</v>
      </c>
      <c r="F72" s="448"/>
      <c r="G72" s="207">
        <f>+SUM(SUMIF($G$21:$G$35, "Scoop*", $J$21:$J$35))/SUMPRODUCT((LEFT(G21:G35, 5)="Scoop") / (COUNTIF(G21:G35, G21:G35 &amp; "") + (G21:G35="")))</f>
        <v>0.125</v>
      </c>
      <c r="H72" s="220">
        <f>+G72*24/($G$70*24)</f>
        <v>0.6</v>
      </c>
      <c r="I72" s="190"/>
      <c r="J72" s="190"/>
    </row>
    <row r="73" spans="2:10" ht="38" customHeight="1" x14ac:dyDescent="0.3">
      <c r="E73" s="448" t="s">
        <v>99</v>
      </c>
      <c r="F73" s="448"/>
      <c r="G73" s="221">
        <f>+SUM(W21:W35)*D71/D70</f>
        <v>44.1</v>
      </c>
      <c r="H73" s="220">
        <f>+G73/G71</f>
        <v>0.1764</v>
      </c>
      <c r="I73" s="190"/>
      <c r="J73" s="190"/>
    </row>
    <row r="74" spans="2:10" ht="38" customHeight="1" x14ac:dyDescent="0.3">
      <c r="G74" s="222" t="s">
        <v>96</v>
      </c>
      <c r="H74" s="139" t="s">
        <v>23</v>
      </c>
    </row>
    <row r="75" spans="2:10" ht="20" customHeight="1" x14ac:dyDescent="0.3">
      <c r="F75" s="208" t="s">
        <v>71</v>
      </c>
      <c r="G75" s="221">
        <f t="shared" ref="G75:G80" si="13" xml:space="preserve"> SUMIF($G$21:$G$35, +F75,$W$21:$W$35)*$D$71</f>
        <v>0</v>
      </c>
      <c r="H75" s="220">
        <f>+G75/$G$71</f>
        <v>0</v>
      </c>
    </row>
    <row r="76" spans="2:10" ht="20" customHeight="1" x14ac:dyDescent="0.3">
      <c r="F76" s="208" t="s">
        <v>72</v>
      </c>
      <c r="G76" s="221">
        <f t="shared" si="13"/>
        <v>0</v>
      </c>
      <c r="H76" s="220">
        <f t="shared" ref="H76:H81" si="14">+G76/$G$71</f>
        <v>0</v>
      </c>
    </row>
    <row r="77" spans="2:10" ht="20" customHeight="1" x14ac:dyDescent="0.3">
      <c r="F77" s="208" t="s">
        <v>73</v>
      </c>
      <c r="G77" s="221">
        <f t="shared" si="13"/>
        <v>0</v>
      </c>
      <c r="H77" s="220">
        <f t="shared" si="14"/>
        <v>0</v>
      </c>
    </row>
    <row r="78" spans="2:10" ht="20" customHeight="1" x14ac:dyDescent="0.3">
      <c r="F78" s="208" t="s">
        <v>74</v>
      </c>
      <c r="G78" s="221">
        <f t="shared" si="13"/>
        <v>0</v>
      </c>
      <c r="H78" s="220">
        <f t="shared" si="14"/>
        <v>0</v>
      </c>
    </row>
    <row r="79" spans="2:10" ht="20" customHeight="1" x14ac:dyDescent="0.3">
      <c r="F79" s="208" t="s">
        <v>75</v>
      </c>
      <c r="G79" s="221">
        <f t="shared" si="13"/>
        <v>0</v>
      </c>
      <c r="H79" s="220">
        <f t="shared" si="14"/>
        <v>0</v>
      </c>
    </row>
    <row r="80" spans="2:10" ht="20" customHeight="1" x14ac:dyDescent="0.3">
      <c r="F80" s="208" t="s">
        <v>76</v>
      </c>
      <c r="G80" s="221">
        <f t="shared" si="13"/>
        <v>0</v>
      </c>
      <c r="H80" s="220">
        <f t="shared" si="14"/>
        <v>0</v>
      </c>
    </row>
    <row r="81" spans="2:10" ht="20" customHeight="1" x14ac:dyDescent="0.3">
      <c r="F81" s="208" t="s">
        <v>146</v>
      </c>
      <c r="G81" s="223">
        <f>+SUM(G75:G80)</f>
        <v>0</v>
      </c>
      <c r="H81" s="220">
        <f t="shared" si="14"/>
        <v>0</v>
      </c>
    </row>
    <row r="82" spans="2:10" ht="13.5" thickBot="1" x14ac:dyDescent="0.35"/>
    <row r="83" spans="2:10" ht="30" customHeight="1" thickBot="1" x14ac:dyDescent="0.35">
      <c r="B83" s="191"/>
      <c r="C83" s="446" t="s">
        <v>149</v>
      </c>
      <c r="D83" s="446"/>
      <c r="E83" s="192"/>
      <c r="F83" s="192"/>
      <c r="G83" s="192"/>
      <c r="H83" s="192"/>
      <c r="I83" s="216"/>
      <c r="J83" s="193"/>
    </row>
    <row r="84" spans="2:10" ht="25.25" customHeight="1" x14ac:dyDescent="0.3">
      <c r="C84" s="208" t="s">
        <v>150</v>
      </c>
      <c r="D84" s="195">
        <f>SUMPRODUCT((LEFT(G21:G35, 8)="Roboshot") / (COUNTIF(G21:G35, G21:G35 &amp; "") + (G21:G35="")))</f>
        <v>0</v>
      </c>
      <c r="E84" s="447" t="s">
        <v>90</v>
      </c>
      <c r="F84" s="447"/>
      <c r="G84" s="218">
        <v>0.20833333333333334</v>
      </c>
    </row>
    <row r="85" spans="2:10" x14ac:dyDescent="0.3">
      <c r="C85" s="208"/>
      <c r="D85" s="195"/>
      <c r="E85" s="447" t="s">
        <v>97</v>
      </c>
      <c r="F85" s="447"/>
      <c r="G85" s="195">
        <v>12</v>
      </c>
      <c r="H85" s="219" t="s">
        <v>23</v>
      </c>
    </row>
    <row r="87" spans="2:10" x14ac:dyDescent="0.3">
      <c r="G87" s="222" t="s">
        <v>96</v>
      </c>
      <c r="H87" s="139" t="s">
        <v>23</v>
      </c>
    </row>
    <row r="88" spans="2:10" x14ac:dyDescent="0.3">
      <c r="F88" s="208" t="s">
        <v>77</v>
      </c>
      <c r="G88" s="221">
        <f xml:space="preserve"> SUMIF($G$21:$G$35, +F88,$X$21:$X$35)</f>
        <v>0</v>
      </c>
      <c r="H88" s="220">
        <f>+G88/$G$85</f>
        <v>0</v>
      </c>
    </row>
    <row r="89" spans="2:10" x14ac:dyDescent="0.3">
      <c r="F89" s="208" t="s">
        <v>78</v>
      </c>
      <c r="G89" s="221">
        <f xml:space="preserve"> SUMIF($G$21:$G$35, +F89,$X$21:$X$35)</f>
        <v>0</v>
      </c>
      <c r="H89" s="220">
        <f t="shared" ref="H89:H90" si="15">+G89/$G$85</f>
        <v>0</v>
      </c>
    </row>
    <row r="90" spans="2:10" x14ac:dyDescent="0.3">
      <c r="F90" s="208" t="s">
        <v>79</v>
      </c>
      <c r="G90" s="221">
        <f xml:space="preserve"> SUMIF($G$21:$G$35, +F90,$X$21:$X$35)</f>
        <v>0</v>
      </c>
      <c r="H90" s="220">
        <f t="shared" si="15"/>
        <v>0</v>
      </c>
    </row>
    <row r="91" spans="2:10" x14ac:dyDescent="0.3">
      <c r="F91" s="208" t="s">
        <v>146</v>
      </c>
      <c r="G91" s="223">
        <f>+SUM(G88:G90)</f>
        <v>0</v>
      </c>
      <c r="H91" s="220">
        <f>+G91/$G$85</f>
        <v>0</v>
      </c>
    </row>
  </sheetData>
  <mergeCells count="38">
    <mergeCell ref="E84:F84"/>
    <mergeCell ref="E85:F85"/>
    <mergeCell ref="C69:D69"/>
    <mergeCell ref="E70:F70"/>
    <mergeCell ref="E72:F72"/>
    <mergeCell ref="E73:F73"/>
    <mergeCell ref="C83:D83"/>
    <mergeCell ref="E71:F71"/>
    <mergeCell ref="E58:F58"/>
    <mergeCell ref="E59:F59"/>
    <mergeCell ref="C55:D55"/>
    <mergeCell ref="E56:F56"/>
    <mergeCell ref="E40:F40"/>
    <mergeCell ref="E41:F41"/>
    <mergeCell ref="E42:F42"/>
    <mergeCell ref="E45:G45"/>
    <mergeCell ref="E46:G46"/>
    <mergeCell ref="E47:G47"/>
    <mergeCell ref="E49:G49"/>
    <mergeCell ref="E50:G50"/>
    <mergeCell ref="E51:G51"/>
    <mergeCell ref="E53:G53"/>
    <mergeCell ref="E57:F57"/>
    <mergeCell ref="C39:D39"/>
    <mergeCell ref="G39:H39"/>
    <mergeCell ref="I39:J39"/>
    <mergeCell ref="K39:L39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41:H42 J41:J42">
    <cfRule type="cellIs" dxfId="818" priority="13" operator="greaterThan">
      <formula>0.9</formula>
    </cfRule>
    <cfRule type="cellIs" dxfId="817" priority="14" operator="between">
      <formula>0.81</formula>
      <formula>0.89</formula>
    </cfRule>
    <cfRule type="cellIs" dxfId="816" priority="15" operator="lessThan">
      <formula>0.8</formula>
    </cfRule>
  </conditionalFormatting>
  <conditionalFormatting sqref="H58:H59">
    <cfRule type="cellIs" dxfId="815" priority="16" operator="greaterThan">
      <formula>0.9</formula>
    </cfRule>
    <cfRule type="cellIs" dxfId="814" priority="17" operator="between">
      <formula>0.81</formula>
      <formula>0.89</formula>
    </cfRule>
    <cfRule type="cellIs" dxfId="813" priority="18" operator="lessThan">
      <formula>0.8</formula>
    </cfRule>
  </conditionalFormatting>
  <conditionalFormatting sqref="H61:H67">
    <cfRule type="cellIs" dxfId="812" priority="19" operator="greaterThan">
      <formula>0.9</formula>
    </cfRule>
    <cfRule type="cellIs" dxfId="811" priority="20" operator="between">
      <formula>0.81</formula>
      <formula>0.89</formula>
    </cfRule>
    <cfRule type="cellIs" dxfId="810" priority="21" operator="lessThan">
      <formula>0.8</formula>
    </cfRule>
  </conditionalFormatting>
  <conditionalFormatting sqref="H72:H73">
    <cfRule type="cellIs" dxfId="809" priority="7" operator="greaterThan">
      <formula>0.9</formula>
    </cfRule>
    <cfRule type="cellIs" dxfId="808" priority="8" operator="between">
      <formula>0.81</formula>
      <formula>0.89</formula>
    </cfRule>
    <cfRule type="cellIs" dxfId="807" priority="9" operator="lessThan">
      <formula>0.8</formula>
    </cfRule>
  </conditionalFormatting>
  <conditionalFormatting sqref="H75:H81">
    <cfRule type="cellIs" dxfId="806" priority="10" operator="greaterThan">
      <formula>0.9</formula>
    </cfRule>
    <cfRule type="cellIs" dxfId="805" priority="11" operator="between">
      <formula>0.81</formula>
      <formula>0.89</formula>
    </cfRule>
    <cfRule type="cellIs" dxfId="804" priority="12" operator="lessThan">
      <formula>0.8</formula>
    </cfRule>
  </conditionalFormatting>
  <conditionalFormatting sqref="H88:H91">
    <cfRule type="cellIs" dxfId="803" priority="4" operator="greaterThan">
      <formula>0.9</formula>
    </cfRule>
    <cfRule type="cellIs" dxfId="802" priority="5" operator="between">
      <formula>0.81</formula>
      <formula>0.89</formula>
    </cfRule>
    <cfRule type="cellIs" dxfId="801" priority="6" operator="lessThan">
      <formula>0.8</formula>
    </cfRule>
  </conditionalFormatting>
  <conditionalFormatting sqref="L41:L42">
    <cfRule type="cellIs" dxfId="800" priority="1" operator="greaterThan">
      <formula>0.9</formula>
    </cfRule>
    <cfRule type="cellIs" dxfId="799" priority="2" operator="between">
      <formula>0.81</formula>
      <formula>0.89</formula>
    </cfRule>
    <cfRule type="cellIs" dxfId="798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C770ACA-10B8-4DC0-BF01-7B74764726A8}">
          <x14:formula1>
            <xm:f>Datos!$F$3:$F$41</xm:f>
          </x14:formula1>
          <xm:sqref>G31:G37 G21:G28</xm:sqref>
        </x14:dataValidation>
        <x14:dataValidation type="list" allowBlank="1" showInputMessage="1" showErrorMessage="1" xr:uid="{B0FB19AB-1BAB-4CF1-AD65-D8AAF23900A7}">
          <x14:formula1>
            <xm:f>Datos!$W$3:$W$12</xm:f>
          </x14:formula1>
          <xm:sqref>L31:L37 L21:L28</xm:sqref>
        </x14:dataValidation>
        <x14:dataValidation type="list" allowBlank="1" showInputMessage="1" showErrorMessage="1" xr:uid="{D9A64451-636B-486D-B46C-CD65216328DD}">
          <x14:formula1>
            <xm:f>Datos!$D$3:$D$27</xm:f>
          </x14:formula1>
          <xm:sqref>F31:F37 F21:F28</xm:sqref>
        </x14:dataValidation>
        <x14:dataValidation type="list" allowBlank="1" showInputMessage="1" showErrorMessage="1" xr:uid="{3FBAFC53-1EAF-4B3D-959C-09E70A6C5185}">
          <x14:formula1>
            <xm:f>Datos!$B$3:$B$8</xm:f>
          </x14:formula1>
          <xm:sqref>E31:E37 E21:E28</xm:sqref>
        </x14:dataValidation>
        <x14:dataValidation type="list" allowBlank="1" showInputMessage="1" showErrorMessage="1" xr:uid="{2EE078D2-DA64-4576-B2AE-1A31247B627B}">
          <x14:formula1>
            <xm:f>Datos!$H$3:$H$34</xm:f>
          </x14:formula1>
          <xm:sqref>D31:D35 D21:D27</xm:sqref>
        </x14:dataValidation>
        <x14:dataValidation type="list" allowBlank="1" showInputMessage="1" showErrorMessage="1" xr:uid="{2042B055-BC0C-486B-9B72-B2EE0BD14A33}">
          <x14:formula1>
            <xm:f>Datos!$H$3:$H$26</xm:f>
          </x14:formula1>
          <xm:sqref>D28 D36:D37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F8482-0703-4B32-AAA6-3D260E5F6C91}">
  <sheetPr>
    <pageSetUpPr fitToPage="1"/>
  </sheetPr>
  <dimension ref="B1:X93"/>
  <sheetViews>
    <sheetView showGridLines="0" topLeftCell="A19" zoomScaleNormal="100" zoomScaleSheetLayoutView="50" workbookViewId="0">
      <pane xSplit="3" ySplit="2" topLeftCell="D39" activePane="bottomRight" state="frozen"/>
      <selection activeCell="M54" sqref="M54"/>
      <selection pane="topRight" activeCell="M54" sqref="M54"/>
      <selection pane="bottomLeft" activeCell="M54" sqref="M54"/>
      <selection pane="bottomRight" activeCell="M54" sqref="M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0.43402777777777779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0.70000000000000007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+G69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+G83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+G93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53</v>
      </c>
      <c r="E21" s="172" t="s">
        <v>6</v>
      </c>
      <c r="F21" s="172" t="s">
        <v>169</v>
      </c>
      <c r="G21" s="172" t="s">
        <v>211</v>
      </c>
      <c r="H21" s="174">
        <v>0.4548611111111111</v>
      </c>
      <c r="I21" s="174">
        <v>0.47222222222222221</v>
      </c>
      <c r="J21" s="175">
        <f t="shared" ref="J21:J24" si="0">MOD(I21-H21, 1)</f>
        <v>1.7361111111111105E-2</v>
      </c>
      <c r="K21" s="178"/>
      <c r="L21" s="177"/>
      <c r="M21" s="178"/>
      <c r="N21" s="179">
        <v>1</v>
      </c>
      <c r="O21" s="225" t="s">
        <v>364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4.905875641756987E-2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52</v>
      </c>
      <c r="E22" s="172" t="s">
        <v>6</v>
      </c>
      <c r="F22" s="172" t="s">
        <v>169</v>
      </c>
      <c r="G22" s="172" t="s">
        <v>211</v>
      </c>
      <c r="H22" s="174">
        <v>0.47916666666666669</v>
      </c>
      <c r="I22" s="174">
        <v>0.58333333333333337</v>
      </c>
      <c r="J22" s="175">
        <f t="shared" si="0"/>
        <v>0.10416666666666669</v>
      </c>
      <c r="K22" s="178">
        <v>150</v>
      </c>
      <c r="L22" s="177" t="s">
        <v>126</v>
      </c>
      <c r="M22" s="178"/>
      <c r="N22" s="179">
        <v>1</v>
      </c>
      <c r="O22" s="225"/>
      <c r="P22" s="181"/>
      <c r="Q22" s="174"/>
      <c r="R22" s="172"/>
      <c r="S22" s="175">
        <f t="shared" ref="S22:S28" si="1">+MOD(R22-Q22,1)</f>
        <v>0</v>
      </c>
      <c r="U22" s="182">
        <f>+IFERROR(VLOOKUP(D22,Datos!$R$3:$T$19,3,FALSE), "0")*N22</f>
        <v>6.8454078722190517E-2</v>
      </c>
      <c r="V22" s="183" t="str">
        <f t="shared" ref="V22:V28" si="2">IF(OR(D22="Perforación de Fortificación", D22="Perforación de Avance", D22="Perforación Desquinche"), K22*M22, "")</f>
        <v/>
      </c>
      <c r="W22" s="183" t="str">
        <f t="shared" ref="W22:W28" si="3">IF(D22="Extracción de Marina Disparo",K22,"")</f>
        <v/>
      </c>
      <c r="X22" s="183" t="str">
        <f t="shared" ref="X22:X28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230</v>
      </c>
      <c r="E23" s="172" t="s">
        <v>6</v>
      </c>
      <c r="F23" s="172" t="s">
        <v>169</v>
      </c>
      <c r="G23" s="172" t="s">
        <v>213</v>
      </c>
      <c r="H23" s="174">
        <v>0.39583333333333331</v>
      </c>
      <c r="I23" s="174">
        <v>0.4513888888888889</v>
      </c>
      <c r="J23" s="175">
        <f t="shared" si="0"/>
        <v>5.555555555555558E-2</v>
      </c>
      <c r="K23" s="178"/>
      <c r="L23" s="177"/>
      <c r="M23" s="178"/>
      <c r="N23" s="179">
        <v>1</v>
      </c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52</v>
      </c>
      <c r="E24" s="172" t="s">
        <v>6</v>
      </c>
      <c r="F24" s="172" t="s">
        <v>169</v>
      </c>
      <c r="G24" s="172" t="s">
        <v>211</v>
      </c>
      <c r="H24" s="174">
        <v>0.59027777777777779</v>
      </c>
      <c r="I24" s="174">
        <v>0.625</v>
      </c>
      <c r="J24" s="175">
        <f t="shared" si="0"/>
        <v>3.472222222222221E-2</v>
      </c>
      <c r="K24" s="178">
        <v>12</v>
      </c>
      <c r="L24" s="177" t="s">
        <v>126</v>
      </c>
      <c r="M24" s="178"/>
      <c r="N24" s="179">
        <v>0</v>
      </c>
      <c r="O24" s="186" t="s">
        <v>366</v>
      </c>
      <c r="P24" s="181"/>
      <c r="Q24" s="174"/>
      <c r="R24" s="174"/>
      <c r="S24" s="175"/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101</v>
      </c>
      <c r="E25" s="172" t="s">
        <v>6</v>
      </c>
      <c r="F25" s="172" t="s">
        <v>169</v>
      </c>
      <c r="G25" s="172"/>
      <c r="H25" s="174">
        <v>0.60416666666666663</v>
      </c>
      <c r="I25" s="174">
        <v>0.64583333333333337</v>
      </c>
      <c r="J25" s="175">
        <f>MOD(I25-H25, 1)</f>
        <v>4.1666666666666741E-2</v>
      </c>
      <c r="K25" s="178"/>
      <c r="L25" s="177"/>
      <c r="M25" s="178"/>
      <c r="N25" s="179">
        <v>1</v>
      </c>
      <c r="O25" s="225"/>
      <c r="P25" s="181"/>
      <c r="Q25" s="172"/>
      <c r="R25" s="172"/>
      <c r="S25" s="175">
        <f>+MOD(R25-Q25,1)</f>
        <v>0</v>
      </c>
      <c r="U25" s="182">
        <f>+IFERROR(VLOOKUP(D25,Datos!$R$3:$T$19,3,FALSE), "0")*N25</f>
        <v>5.7045065601825425E-3</v>
      </c>
      <c r="V25" s="183" t="str">
        <f>IF(OR(D25="Perforación de Fortificación", D25="Perforación de Avance", D25="Perforación Desquinche"), K25*M25, "")</f>
        <v/>
      </c>
      <c r="W25" s="183" t="str">
        <f>IF(D25="Extracción de Marina Disparo",K25,"")</f>
        <v/>
      </c>
      <c r="X25" s="183" t="str">
        <f>IF(OR(D25="Shotcrete", D25="Pre Shotcrete"), K25, "")</f>
        <v/>
      </c>
    </row>
    <row r="26" spans="2:24" ht="38" customHeight="1" x14ac:dyDescent="0.3">
      <c r="B26" s="172">
        <v>3500</v>
      </c>
      <c r="C26" s="173" t="str">
        <f>+Datos!$R$2</f>
        <v>Ciclo Minero 10,0 x 7,2 m
Galería Inyección Principal</v>
      </c>
      <c r="D26" s="173" t="s">
        <v>63</v>
      </c>
      <c r="E26" s="172" t="s">
        <v>6</v>
      </c>
      <c r="F26" s="172" t="s">
        <v>169</v>
      </c>
      <c r="G26" s="172" t="s">
        <v>203</v>
      </c>
      <c r="H26" s="174">
        <v>0.64583333333333337</v>
      </c>
      <c r="I26" s="174">
        <v>0.66666666666666663</v>
      </c>
      <c r="J26" s="175">
        <f>MOD(I26-H26, 1)</f>
        <v>2.0833333333333259E-2</v>
      </c>
      <c r="K26" s="178"/>
      <c r="L26" s="177"/>
      <c r="M26" s="178"/>
      <c r="N26" s="179">
        <v>0</v>
      </c>
      <c r="O26" s="186" t="s">
        <v>365</v>
      </c>
      <c r="P26" s="181"/>
      <c r="Q26" s="174"/>
      <c r="R26" s="174"/>
      <c r="S26" s="175"/>
      <c r="U26" s="182">
        <f>+IFERROR(VLOOKUP(D26,Datos!$R$3:$T$19,3,FALSE), "0")*N26</f>
        <v>0</v>
      </c>
      <c r="V26" s="183">
        <f t="shared" si="2"/>
        <v>0</v>
      </c>
      <c r="W26" s="183" t="str">
        <f t="shared" si="3"/>
        <v/>
      </c>
      <c r="X26" s="183" t="str">
        <f t="shared" si="4"/>
        <v/>
      </c>
    </row>
    <row r="27" spans="2:24" ht="37.75" customHeight="1" x14ac:dyDescent="0.3">
      <c r="B27" s="172">
        <v>3500</v>
      </c>
      <c r="C27" s="173" t="str">
        <f>+Datos!$R$2</f>
        <v>Ciclo Minero 10,0 x 7,2 m
Galería Inyección Principal</v>
      </c>
      <c r="D27" s="173" t="s">
        <v>63</v>
      </c>
      <c r="E27" s="172" t="s">
        <v>6</v>
      </c>
      <c r="F27" s="172" t="s">
        <v>169</v>
      </c>
      <c r="G27" s="172" t="s">
        <v>203</v>
      </c>
      <c r="H27" s="174">
        <v>0.66666666666666663</v>
      </c>
      <c r="I27" s="174">
        <v>0.82638888888888884</v>
      </c>
      <c r="J27" s="175">
        <f>MOD(I27-H27, 1)</f>
        <v>0.15972222222222221</v>
      </c>
      <c r="K27" s="178">
        <v>132</v>
      </c>
      <c r="L27" s="177"/>
      <c r="M27" s="178">
        <v>3.8</v>
      </c>
      <c r="N27" s="179">
        <v>0.9</v>
      </c>
      <c r="O27" s="186"/>
      <c r="P27" s="181"/>
      <c r="Q27" s="174"/>
      <c r="R27" s="174"/>
      <c r="S27" s="175"/>
      <c r="U27" s="182">
        <f>+IFERROR(VLOOKUP(D27,Datos!$R$3:$T$19,3,FALSE), "0")*N27</f>
        <v>0.12167712492869366</v>
      </c>
      <c r="V27" s="183">
        <f t="shared" ref="V27" si="5">IF(OR(D27="Perforación de Fortificación", D27="Perforación de Avance", D27="Perforación Desquinche"), K27*M27, "")</f>
        <v>501.59999999999997</v>
      </c>
      <c r="W27" s="183" t="str">
        <f t="shared" si="3"/>
        <v/>
      </c>
      <c r="X27" s="183" t="str">
        <f t="shared" si="4"/>
        <v/>
      </c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 t="s">
        <v>329</v>
      </c>
      <c r="J28" s="175">
        <f>MOD(I27-H21, 1)</f>
        <v>0.37152777777777773</v>
      </c>
      <c r="K28" s="178"/>
      <c r="L28" s="177"/>
      <c r="M28" s="178"/>
      <c r="N28" s="179"/>
      <c r="O28" s="186" t="s">
        <v>367</v>
      </c>
      <c r="P28" s="172"/>
      <c r="Q28" s="172"/>
      <c r="R28" s="172"/>
      <c r="S28" s="175">
        <f t="shared" si="1"/>
        <v>0</v>
      </c>
      <c r="U28" s="182">
        <f>SUM(U21:U27)</f>
        <v>0.24489446662863656</v>
      </c>
      <c r="V28" s="183" t="str">
        <f t="shared" si="2"/>
        <v/>
      </c>
      <c r="W28" s="183" t="str">
        <f t="shared" si="3"/>
        <v/>
      </c>
      <c r="X28" s="183" t="str">
        <f t="shared" si="4"/>
        <v/>
      </c>
    </row>
    <row r="29" spans="2:24" x14ac:dyDescent="0.3">
      <c r="B29" s="185" t="s">
        <v>158</v>
      </c>
      <c r="C29" s="63" t="s">
        <v>194</v>
      </c>
      <c r="D29" s="63"/>
      <c r="E29" s="63"/>
      <c r="F29" s="63"/>
      <c r="G29" s="63"/>
      <c r="H29" s="63"/>
      <c r="I29" s="63"/>
      <c r="J29" s="64"/>
      <c r="K29" s="64"/>
      <c r="L29" s="171"/>
      <c r="M29" s="63"/>
      <c r="N29" s="64"/>
      <c r="O29" s="64"/>
      <c r="P29" s="63"/>
      <c r="Q29" s="63"/>
      <c r="R29" s="63"/>
      <c r="S29" s="64"/>
      <c r="U29" s="63"/>
      <c r="V29" s="64"/>
      <c r="W29" s="64"/>
      <c r="X29" s="64"/>
    </row>
    <row r="30" spans="2:24" ht="52" x14ac:dyDescent="0.3">
      <c r="B30" s="63" t="s">
        <v>3</v>
      </c>
      <c r="C30" s="63" t="s">
        <v>2</v>
      </c>
      <c r="D30" s="63" t="s">
        <v>5</v>
      </c>
      <c r="E30" s="63" t="s">
        <v>22</v>
      </c>
      <c r="F30" s="63" t="s">
        <v>139</v>
      </c>
      <c r="G30" s="63" t="s">
        <v>29</v>
      </c>
      <c r="H30" s="63" t="s">
        <v>121</v>
      </c>
      <c r="I30" s="63" t="s">
        <v>4</v>
      </c>
      <c r="J30" s="64" t="s">
        <v>122</v>
      </c>
      <c r="K30" s="64" t="s">
        <v>131</v>
      </c>
      <c r="L30" s="171" t="s">
        <v>123</v>
      </c>
      <c r="M30" s="63" t="s">
        <v>134</v>
      </c>
      <c r="N30" s="64" t="s">
        <v>24</v>
      </c>
      <c r="O30" s="64" t="s">
        <v>130</v>
      </c>
      <c r="P30" s="63" t="s">
        <v>132</v>
      </c>
      <c r="Q30" s="63" t="s">
        <v>121</v>
      </c>
      <c r="R30" s="63" t="s">
        <v>4</v>
      </c>
      <c r="S30" s="64" t="s">
        <v>137</v>
      </c>
      <c r="U30" s="63" t="s">
        <v>109</v>
      </c>
      <c r="V30" s="64" t="s">
        <v>87</v>
      </c>
      <c r="W30" s="64" t="s">
        <v>128</v>
      </c>
      <c r="X30" s="64" t="s">
        <v>128</v>
      </c>
    </row>
    <row r="31" spans="2:24" ht="38" customHeight="1" x14ac:dyDescent="0.3">
      <c r="B31" s="172">
        <v>3700</v>
      </c>
      <c r="C31" s="173" t="str">
        <f>+Datos!R23</f>
        <v>Ciclo Minero 5,2 x 5,6 m
Galería Acceso Portal de Servicio</v>
      </c>
      <c r="D31" s="173" t="s">
        <v>53</v>
      </c>
      <c r="E31" s="172" t="s">
        <v>6</v>
      </c>
      <c r="F31" s="172" t="s">
        <v>170</v>
      </c>
      <c r="G31" s="172" t="s">
        <v>212</v>
      </c>
      <c r="H31" s="174">
        <v>0.41666666666666669</v>
      </c>
      <c r="I31" s="174">
        <v>0.45833333333333331</v>
      </c>
      <c r="J31" s="175">
        <f t="shared" ref="J31:J34" si="6">MOD(I31-H31, 1)</f>
        <v>4.166666666666663E-2</v>
      </c>
      <c r="K31" s="178"/>
      <c r="L31" s="177"/>
      <c r="M31" s="178"/>
      <c r="N31" s="179">
        <v>1</v>
      </c>
      <c r="O31" s="225"/>
      <c r="P31" s="173"/>
      <c r="Q31" s="174"/>
      <c r="R31" s="174"/>
      <c r="S31" s="175">
        <f t="shared" ref="S31:S32" si="7">MOD(R31-Q31, 1)</f>
        <v>0</v>
      </c>
      <c r="U31" s="187">
        <f>+IFERROR(VLOOKUP(D31,Datos!$R$24:$T$40,3,FALSE), "0")*N31</f>
        <v>7.0381231671554259E-2</v>
      </c>
      <c r="V31" s="183" t="str">
        <f t="shared" ref="V31:V38" si="8">IF(OR(D31="Perforación de Fortificación", D31="Perforación de Avance", D31="Perforación Desquinche"), K31*M31, "")</f>
        <v/>
      </c>
      <c r="W31" s="183" t="str">
        <f>IF(D31="Extracción de Marina Disparo",K31,"")</f>
        <v/>
      </c>
      <c r="X31" s="183" t="str">
        <f t="shared" ref="X31:X38" si="9">IF(OR(D31="Shotcrete", D31="Pre Shotcrete"), K31, "")</f>
        <v/>
      </c>
    </row>
    <row r="32" spans="2:24" ht="53.4" customHeight="1" x14ac:dyDescent="0.3">
      <c r="B32" s="172">
        <v>3700</v>
      </c>
      <c r="C32" s="173" t="str">
        <f t="shared" ref="C32:C37" si="10">+C31</f>
        <v>Ciclo Minero 5,2 x 5,6 m
Galería Acceso Portal de Servicio</v>
      </c>
      <c r="D32" s="173" t="s">
        <v>52</v>
      </c>
      <c r="E32" s="172" t="s">
        <v>6</v>
      </c>
      <c r="F32" s="172" t="s">
        <v>170</v>
      </c>
      <c r="G32" s="172" t="s">
        <v>212</v>
      </c>
      <c r="H32" s="174">
        <v>0.46527777777777779</v>
      </c>
      <c r="I32" s="174">
        <v>0.61111111111111116</v>
      </c>
      <c r="J32" s="175">
        <f t="shared" si="6"/>
        <v>0.14583333333333337</v>
      </c>
      <c r="K32" s="178">
        <v>120</v>
      </c>
      <c r="L32" s="177" t="s">
        <v>126</v>
      </c>
      <c r="M32" s="178"/>
      <c r="N32" s="179">
        <v>1</v>
      </c>
      <c r="O32" s="225"/>
      <c r="P32" s="181"/>
      <c r="Q32" s="174"/>
      <c r="R32" s="174"/>
      <c r="S32" s="175">
        <f t="shared" si="7"/>
        <v>0</v>
      </c>
      <c r="U32" s="187">
        <f>+IFERROR(VLOOKUP(D32,Datos!$R$24:$T$40,3,FALSE), "0")*N32</f>
        <v>7.3313782991202336E-2</v>
      </c>
      <c r="V32" s="183" t="str">
        <f t="shared" si="8"/>
        <v/>
      </c>
      <c r="W32" s="183" t="str">
        <f t="shared" ref="W32:W38" si="11">IF(D32="Extracción de Marina Disparo",K32,"")</f>
        <v/>
      </c>
      <c r="X32" s="183" t="str">
        <f t="shared" si="9"/>
        <v/>
      </c>
    </row>
    <row r="33" spans="2:24" ht="38" customHeight="1" x14ac:dyDescent="0.3">
      <c r="B33" s="172">
        <v>3700</v>
      </c>
      <c r="C33" s="173" t="str">
        <f t="shared" si="10"/>
        <v>Ciclo Minero 5,2 x 5,6 m
Galería Acceso Portal de Servicio</v>
      </c>
      <c r="D33" s="173" t="s">
        <v>101</v>
      </c>
      <c r="E33" s="172" t="s">
        <v>6</v>
      </c>
      <c r="F33" s="172" t="s">
        <v>170</v>
      </c>
      <c r="G33" s="172"/>
      <c r="H33" s="174">
        <v>0.40277777777777779</v>
      </c>
      <c r="I33" s="174">
        <v>0.45833333333333331</v>
      </c>
      <c r="J33" s="175">
        <f t="shared" si="6"/>
        <v>5.5555555555555525E-2</v>
      </c>
      <c r="K33" s="178"/>
      <c r="L33" s="177"/>
      <c r="M33" s="178"/>
      <c r="N33" s="179">
        <v>1</v>
      </c>
      <c r="O33" s="186" t="s">
        <v>360</v>
      </c>
      <c r="P33" s="172"/>
      <c r="Q33" s="172"/>
      <c r="R33" s="172"/>
      <c r="S33" s="175">
        <f t="shared" ref="S33:S38" si="12">+MOD(R33-Q33,1)</f>
        <v>0</v>
      </c>
      <c r="U33" s="187">
        <f>+IFERROR(VLOOKUP(D33,Datos!$R$24:$T$40,3,FALSE), "0")*N33</f>
        <v>9.7751710654936444E-3</v>
      </c>
      <c r="V33" s="183" t="str">
        <f t="shared" si="8"/>
        <v/>
      </c>
      <c r="W33" s="183" t="str">
        <f t="shared" si="11"/>
        <v/>
      </c>
      <c r="X33" s="183"/>
    </row>
    <row r="34" spans="2:24" ht="38" customHeight="1" x14ac:dyDescent="0.3">
      <c r="B34" s="172">
        <v>3700</v>
      </c>
      <c r="C34" s="173" t="str">
        <f t="shared" si="10"/>
        <v>Ciclo Minero 5,2 x 5,6 m
Galería Acceso Portal de Servicio</v>
      </c>
      <c r="D34" s="173" t="s">
        <v>59</v>
      </c>
      <c r="E34" s="172" t="s">
        <v>6</v>
      </c>
      <c r="F34" s="172" t="s">
        <v>170</v>
      </c>
      <c r="G34" s="172" t="s">
        <v>213</v>
      </c>
      <c r="H34" s="174">
        <v>0.61458333333333337</v>
      </c>
      <c r="I34" s="174">
        <v>0.63541666666666663</v>
      </c>
      <c r="J34" s="175">
        <f t="shared" si="6"/>
        <v>2.0833333333333259E-2</v>
      </c>
      <c r="K34" s="178"/>
      <c r="L34" s="177"/>
      <c r="M34" s="178"/>
      <c r="N34" s="179">
        <v>0</v>
      </c>
      <c r="O34" s="186" t="s">
        <v>363</v>
      </c>
      <c r="P34" s="181"/>
      <c r="Q34" s="174"/>
      <c r="R34" s="174"/>
      <c r="S34" s="175">
        <f t="shared" si="12"/>
        <v>0</v>
      </c>
      <c r="U34" s="187">
        <f>+IFERROR(VLOOKUP(D34,Datos!$R$24:$T$40,3,FALSE), "0")*N34</f>
        <v>0</v>
      </c>
      <c r="V34" s="183" t="str">
        <f t="shared" si="8"/>
        <v/>
      </c>
      <c r="W34" s="183" t="str">
        <f t="shared" si="11"/>
        <v/>
      </c>
      <c r="X34" s="183" t="str">
        <f t="shared" si="9"/>
        <v/>
      </c>
    </row>
    <row r="35" spans="2:24" ht="38" customHeight="1" x14ac:dyDescent="0.3">
      <c r="B35" s="172">
        <v>3700</v>
      </c>
      <c r="C35" s="173" t="str">
        <f t="shared" si="10"/>
        <v>Ciclo Minero 5,2 x 5,6 m
Galería Acceso Portal de Servicio</v>
      </c>
      <c r="D35" s="173" t="s">
        <v>63</v>
      </c>
      <c r="E35" s="172" t="s">
        <v>6</v>
      </c>
      <c r="F35" s="172" t="s">
        <v>170</v>
      </c>
      <c r="G35" s="172" t="s">
        <v>202</v>
      </c>
      <c r="H35" s="174">
        <v>0.63541666666666663</v>
      </c>
      <c r="I35" s="174">
        <v>0.65972222222222221</v>
      </c>
      <c r="J35" s="175">
        <f>MOD(I35-H35, 1)</f>
        <v>2.430555555555558E-2</v>
      </c>
      <c r="K35" s="178"/>
      <c r="L35" s="177"/>
      <c r="M35" s="178"/>
      <c r="N35" s="179">
        <v>0</v>
      </c>
      <c r="O35" s="225" t="s">
        <v>361</v>
      </c>
      <c r="P35" s="172"/>
      <c r="Q35" s="172"/>
      <c r="R35" s="172"/>
      <c r="S35" s="175">
        <f t="shared" si="12"/>
        <v>0</v>
      </c>
      <c r="U35" s="187">
        <f>+IFERROR(VLOOKUP(D35,Datos!$R$24:$T$40,3,FALSE), "0")*N35</f>
        <v>0</v>
      </c>
      <c r="V35" s="183">
        <f t="shared" si="8"/>
        <v>0</v>
      </c>
      <c r="W35" s="183" t="str">
        <f t="shared" si="11"/>
        <v/>
      </c>
      <c r="X35" s="183" t="str">
        <f t="shared" si="9"/>
        <v/>
      </c>
    </row>
    <row r="36" spans="2:24" ht="38" customHeight="1" x14ac:dyDescent="0.3">
      <c r="B36" s="172">
        <v>3700</v>
      </c>
      <c r="C36" s="173" t="str">
        <f t="shared" si="10"/>
        <v>Ciclo Minero 5,2 x 5,6 m
Galería Acceso Portal de Servicio</v>
      </c>
      <c r="D36" s="173" t="s">
        <v>63</v>
      </c>
      <c r="E36" s="172" t="s">
        <v>6</v>
      </c>
      <c r="F36" s="172" t="s">
        <v>170</v>
      </c>
      <c r="G36" s="172" t="s">
        <v>202</v>
      </c>
      <c r="H36" s="174">
        <v>0.65972222222222221</v>
      </c>
      <c r="I36" s="174">
        <v>0.81944444444444442</v>
      </c>
      <c r="J36" s="175">
        <f>MOD(I36-H36, 1)</f>
        <v>0.15972222222222221</v>
      </c>
      <c r="K36" s="178">
        <v>57</v>
      </c>
      <c r="L36" s="177" t="s">
        <v>138</v>
      </c>
      <c r="M36" s="178">
        <v>3.8</v>
      </c>
      <c r="N36" s="179">
        <v>0.55000000000000004</v>
      </c>
      <c r="O36" s="186"/>
      <c r="P36" s="172"/>
      <c r="Q36" s="172"/>
      <c r="R36" s="172"/>
      <c r="S36" s="175">
        <f t="shared" si="12"/>
        <v>0</v>
      </c>
      <c r="U36" s="187">
        <f>+IFERROR(VLOOKUP(D36,Datos!$R$24:$T$40,3,FALSE), "0")*N36</f>
        <v>6.935483870967743E-2</v>
      </c>
      <c r="V36" s="183">
        <f t="shared" si="8"/>
        <v>216.6</v>
      </c>
      <c r="W36" s="183" t="str">
        <f t="shared" si="11"/>
        <v/>
      </c>
      <c r="X36" s="183" t="str">
        <f t="shared" si="9"/>
        <v/>
      </c>
    </row>
    <row r="37" spans="2:24" ht="38" customHeight="1" x14ac:dyDescent="0.3">
      <c r="B37" s="172">
        <v>3700</v>
      </c>
      <c r="C37" s="173" t="str">
        <f t="shared" si="10"/>
        <v>Ciclo Minero 5,2 x 5,6 m
Galería Acceso Portal de Servicio</v>
      </c>
      <c r="D37" s="173" t="s">
        <v>144</v>
      </c>
      <c r="E37" s="172" t="s">
        <v>6</v>
      </c>
      <c r="F37" s="172" t="s">
        <v>170</v>
      </c>
      <c r="G37" s="172" t="s">
        <v>206</v>
      </c>
      <c r="H37" s="174">
        <v>0.39930555555555558</v>
      </c>
      <c r="I37" s="174">
        <v>0.72916666666666663</v>
      </c>
      <c r="J37" s="175">
        <f>MOD(I37-H37, 1)</f>
        <v>0.32986111111111105</v>
      </c>
      <c r="K37" s="178">
        <v>32</v>
      </c>
      <c r="L37" s="177" t="s">
        <v>223</v>
      </c>
      <c r="M37" s="178"/>
      <c r="N37" s="179">
        <v>1</v>
      </c>
      <c r="O37" s="186" t="s">
        <v>362</v>
      </c>
      <c r="P37" s="172"/>
      <c r="Q37" s="172"/>
      <c r="R37" s="172"/>
      <c r="S37" s="175">
        <f t="shared" ref="S37" si="13">+MOD(R37-Q37,1)</f>
        <v>0</v>
      </c>
      <c r="U37" s="187">
        <f>+IFERROR(VLOOKUP(D37,Datos!$R$24:$T$40,3,FALSE), "0")*N37</f>
        <v>0</v>
      </c>
      <c r="V37" s="183" t="str">
        <f t="shared" ref="V37" si="14">IF(OR(D37="Perforación de Fortificación", D37="Perforación de Avance", D37="Perforación Desquinche"), K37*M37, "")</f>
        <v/>
      </c>
      <c r="W37" s="183" t="str">
        <f t="shared" ref="W37" si="15">IF(D37="Extracción de Marina Disparo",K37,"")</f>
        <v/>
      </c>
      <c r="X37" s="183" t="str">
        <f t="shared" ref="X37" si="16">IF(OR(D37="Shotcrete", D37="Pre Shotcrete"), K37, "")</f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 t="s">
        <v>329</v>
      </c>
      <c r="J38" s="175">
        <f>MOD(I37-H33, 1)</f>
        <v>0.32638888888888884</v>
      </c>
      <c r="K38" s="178"/>
      <c r="L38" s="177"/>
      <c r="M38" s="178"/>
      <c r="N38" s="179"/>
      <c r="O38" s="186" t="s">
        <v>348</v>
      </c>
      <c r="P38" s="172"/>
      <c r="Q38" s="172"/>
      <c r="R38" s="172"/>
      <c r="S38" s="175">
        <f t="shared" si="12"/>
        <v>0</v>
      </c>
      <c r="U38" s="182">
        <f>SUM(U31:U37)+Datos!T36</f>
        <v>0.29320625610948192</v>
      </c>
      <c r="V38" s="183" t="str">
        <f t="shared" si="8"/>
        <v/>
      </c>
      <c r="W38" s="183" t="str">
        <f t="shared" si="11"/>
        <v/>
      </c>
      <c r="X38" s="183" t="str">
        <f t="shared" si="9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SUMPRODUCT((LEFT(F21:F35, 1)="C") / (COUNTIF(F21:F35, F21:F35 &amp; "") + (F21:F35="")))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SUMPRODUCT((LEFT(F21:F35, 1)="O") / (COUNTIF(F21:F35, F21:F35 &amp; "") + (F21:F35="")))</f>
        <v>0</v>
      </c>
      <c r="E42" s="448" t="s">
        <v>198</v>
      </c>
      <c r="F42" s="448"/>
      <c r="G42" s="199">
        <f>SUM(J21:J27)</f>
        <v>0.43402777777777779</v>
      </c>
      <c r="H42" s="200">
        <f>+G42*24/($G$41*24)</f>
        <v>1.666666666666667</v>
      </c>
      <c r="I42" s="199">
        <f>SUM(J31:J35)</f>
        <v>0.28819444444444436</v>
      </c>
      <c r="J42" s="200">
        <f>+I42*24/($I$41*24)</f>
        <v>1.1066666666666662</v>
      </c>
      <c r="K42" s="201">
        <f>AVERAGE(G42+I42)/2</f>
        <v>0.36111111111111105</v>
      </c>
      <c r="L42" s="200">
        <f>+K42*24/($K$41*24)</f>
        <v>1.3866666666666663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+AVERAGE(N21:N28)</f>
        <v>0.70000000000000007</v>
      </c>
      <c r="I43" s="202"/>
      <c r="J43" s="203">
        <f>+AVERAGE(N31:N35)</f>
        <v>0.6</v>
      </c>
      <c r="K43" s="204"/>
      <c r="L43" s="203">
        <f>+AVERAGE(N21:N35)</f>
        <v>0.65833333333333333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258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+U38</f>
        <v>0.29320625610948192</v>
      </c>
      <c r="I46" s="210">
        <f>+H46*$J$46*$K$46</f>
        <v>6.6182516129032249</v>
      </c>
      <c r="J46" s="211">
        <v>6.6</v>
      </c>
      <c r="K46" s="246">
        <v>3.42</v>
      </c>
      <c r="L46" s="344">
        <v>56.080975609756102</v>
      </c>
      <c r="M46" s="344">
        <f>+L46*K46*H46</f>
        <v>56.236061709462845</v>
      </c>
    </row>
    <row r="47" spans="2:24" ht="14.4" customHeight="1" x14ac:dyDescent="0.35">
      <c r="E47" s="445" t="s">
        <v>224</v>
      </c>
      <c r="F47" s="445"/>
      <c r="G47" s="445"/>
      <c r="H47" s="209"/>
      <c r="I47" s="210">
        <f>+J47*K47</f>
        <v>10.868858880000001</v>
      </c>
      <c r="J47" s="296">
        <f>1892/1000000</f>
        <v>1.892E-3</v>
      </c>
      <c r="K47" s="246">
        <f>+((15*4.4)*2.72)*K37</f>
        <v>5744.64</v>
      </c>
      <c r="L47" s="346">
        <v>1.6919982016368774E-2</v>
      </c>
      <c r="M47" s="344">
        <f>+L47*K47</f>
        <v>97.199205490512725</v>
      </c>
    </row>
    <row r="48" spans="2:24" ht="14.4" customHeight="1" x14ac:dyDescent="0.35">
      <c r="E48" s="445" t="s">
        <v>359</v>
      </c>
      <c r="F48" s="445"/>
      <c r="G48" s="445"/>
      <c r="H48" s="209"/>
      <c r="I48" s="210">
        <f>+J48*K48</f>
        <v>0</v>
      </c>
      <c r="J48" s="214">
        <v>0.340368</v>
      </c>
      <c r="K48" s="246"/>
      <c r="L48" s="346"/>
      <c r="M48" s="344">
        <f>+L48*K48</f>
        <v>0</v>
      </c>
    </row>
    <row r="49" spans="2:13" ht="14.4" customHeight="1" x14ac:dyDescent="0.35">
      <c r="E49" s="445" t="s">
        <v>298</v>
      </c>
      <c r="F49" s="445"/>
      <c r="G49" s="445"/>
      <c r="H49" s="209"/>
      <c r="I49" s="210">
        <f>SUM(I46:I48)</f>
        <v>17.487110492903227</v>
      </c>
      <c r="J49" s="214"/>
      <c r="K49" s="246"/>
      <c r="L49" s="346"/>
      <c r="M49" s="344"/>
    </row>
    <row r="50" spans="2:13" ht="14.4" customHeight="1" x14ac:dyDescent="0.3">
      <c r="E50" s="227"/>
      <c r="F50" s="227"/>
      <c r="G50" s="227"/>
      <c r="H50" s="209"/>
      <c r="I50" s="210"/>
      <c r="J50" s="214"/>
      <c r="K50" s="246"/>
    </row>
    <row r="51" spans="2:13" ht="14.4" customHeight="1" x14ac:dyDescent="0.35">
      <c r="E51" s="445" t="s">
        <v>175</v>
      </c>
      <c r="F51" s="445"/>
      <c r="G51" s="445"/>
      <c r="H51" s="209">
        <f>+U28</f>
        <v>0.24489446662863656</v>
      </c>
      <c r="I51" s="210">
        <f>+H51*$J$51*$K$51</f>
        <v>9.8829610952652569</v>
      </c>
      <c r="J51" s="211">
        <v>11.8</v>
      </c>
      <c r="K51" s="246">
        <v>3.42</v>
      </c>
      <c r="L51" s="344">
        <v>118.52055555555555</v>
      </c>
      <c r="M51" s="344">
        <f>+L51*K51*H51</f>
        <v>99.26559657159153</v>
      </c>
    </row>
    <row r="52" spans="2:13" ht="14.4" customHeight="1" x14ac:dyDescent="0.35">
      <c r="E52" s="445" t="s">
        <v>225</v>
      </c>
      <c r="F52" s="445"/>
      <c r="G52" s="445"/>
      <c r="H52" s="209"/>
      <c r="I52" s="210">
        <f>+J52*K52</f>
        <v>0</v>
      </c>
      <c r="J52" s="296">
        <f>+J47</f>
        <v>1.892E-3</v>
      </c>
      <c r="K52" s="246">
        <f>+((15*2.8)*2.72)*0</f>
        <v>0</v>
      </c>
      <c r="L52" s="346">
        <v>1.6919982016368774E-2</v>
      </c>
      <c r="M52" s="344">
        <f>+L52*K52</f>
        <v>0</v>
      </c>
    </row>
    <row r="53" spans="2:13" ht="14.4" customHeight="1" x14ac:dyDescent="0.3">
      <c r="E53" s="445" t="s">
        <v>297</v>
      </c>
      <c r="F53" s="445"/>
      <c r="G53" s="445"/>
      <c r="H53" s="209"/>
      <c r="I53" s="210">
        <f>SUM(I51:I52)</f>
        <v>9.8829610952652569</v>
      </c>
      <c r="J53" s="214"/>
      <c r="K53" s="246"/>
      <c r="L53" s="351"/>
      <c r="M53" s="349"/>
    </row>
    <row r="54" spans="2:13" ht="14.4" customHeight="1" x14ac:dyDescent="0.35">
      <c r="E54" s="227"/>
      <c r="F54" s="227"/>
      <c r="G54" s="227"/>
      <c r="H54" s="209"/>
      <c r="I54" s="210"/>
      <c r="J54" s="214"/>
      <c r="K54" s="246"/>
      <c r="L54" s="347" t="s">
        <v>486</v>
      </c>
      <c r="M54" s="344"/>
    </row>
    <row r="55" spans="2:13" ht="14.4" customHeight="1" x14ac:dyDescent="0.3">
      <c r="E55" s="445" t="s">
        <v>236</v>
      </c>
      <c r="F55" s="445"/>
      <c r="G55" s="445"/>
      <c r="H55" s="209"/>
      <c r="I55" s="210">
        <f>+J55*K55</f>
        <v>0</v>
      </c>
      <c r="J55" s="214">
        <f>25508/1000000</f>
        <v>2.5507999999999999E-2</v>
      </c>
      <c r="K55" s="246">
        <f>14.43*0</f>
        <v>0</v>
      </c>
      <c r="L55" s="213"/>
      <c r="M55" s="352">
        <f>SUM(M46:M54)</f>
        <v>252.70086377156707</v>
      </c>
    </row>
    <row r="56" spans="2:13" ht="7.75" customHeight="1" thickBot="1" x14ac:dyDescent="0.35"/>
    <row r="57" spans="2:13" ht="30" customHeight="1" thickBot="1" x14ac:dyDescent="0.35">
      <c r="B57" s="191"/>
      <c r="C57" s="446" t="s">
        <v>88</v>
      </c>
      <c r="D57" s="446"/>
      <c r="E57" s="192"/>
      <c r="F57" s="192"/>
      <c r="G57" s="192"/>
      <c r="H57" s="192"/>
      <c r="I57" s="216"/>
      <c r="J57" s="193"/>
    </row>
    <row r="58" spans="2:13" ht="38" customHeight="1" x14ac:dyDescent="0.3">
      <c r="C58" s="217" t="s">
        <v>89</v>
      </c>
      <c r="D58" s="195">
        <f>SUMPRODUCT((LEFT(G21:G35, 5)="Jumbo") / (COUNTIF(G21:G35, G21:G35 &amp; "") + (G21:G35="")))</f>
        <v>2</v>
      </c>
      <c r="E58" s="447" t="s">
        <v>90</v>
      </c>
      <c r="F58" s="447"/>
      <c r="G58" s="218">
        <v>0.20833333333333334</v>
      </c>
      <c r="I58" s="139"/>
      <c r="J58" s="190"/>
    </row>
    <row r="59" spans="2:13" ht="38" customHeight="1" x14ac:dyDescent="0.3">
      <c r="E59" s="447" t="s">
        <v>93</v>
      </c>
      <c r="F59" s="447"/>
      <c r="G59" s="195">
        <f>15000/(60)</f>
        <v>250</v>
      </c>
      <c r="H59" s="219" t="s">
        <v>143</v>
      </c>
      <c r="I59" s="139"/>
      <c r="J59" s="190"/>
    </row>
    <row r="60" spans="2:13" ht="38" customHeight="1" x14ac:dyDescent="0.3">
      <c r="E60" s="448" t="s">
        <v>91</v>
      </c>
      <c r="F60" s="448"/>
      <c r="G60" s="207">
        <f>+SUM(SUMIF($G$21:$G$35, "Jumbo*", $J$21:$J$35))/SUMPRODUCT((LEFT(G21:G35, 5)="Jumbo") / (COUNTIF(G21:G35, G21:G35 &amp; "") + (G21:G35="")))</f>
        <v>0.10243055555555552</v>
      </c>
      <c r="H60" s="220">
        <f>+G60*24/($G$58*24)</f>
        <v>0.49166666666666653</v>
      </c>
      <c r="I60" s="190"/>
      <c r="J60" s="190"/>
    </row>
    <row r="61" spans="2:13" ht="38" customHeight="1" x14ac:dyDescent="0.3">
      <c r="E61" s="448" t="s">
        <v>92</v>
      </c>
      <c r="F61" s="448"/>
      <c r="G61" s="221">
        <f>+SUM(V21:V35)/D58</f>
        <v>250.79999999999998</v>
      </c>
      <c r="H61" s="220">
        <f>+G61/G59</f>
        <v>1.0031999999999999</v>
      </c>
      <c r="I61" s="190"/>
      <c r="J61" s="190"/>
    </row>
    <row r="62" spans="2:13" ht="38" customHeight="1" x14ac:dyDescent="0.3">
      <c r="G62" s="222" t="s">
        <v>87</v>
      </c>
      <c r="H62" s="139" t="s">
        <v>23</v>
      </c>
    </row>
    <row r="63" spans="2:13" ht="20" customHeight="1" x14ac:dyDescent="0.3">
      <c r="F63" s="208" t="s">
        <v>65</v>
      </c>
      <c r="G63" s="221">
        <f t="shared" ref="G63:G68" si="17" xml:space="preserve"> SUMIF($G$21:$G$35, +F63,$V$21:$V$35)</f>
        <v>0</v>
      </c>
      <c r="H63" s="220">
        <f t="shared" ref="H63:H68" si="18">+G63/$G$59</f>
        <v>0</v>
      </c>
    </row>
    <row r="64" spans="2:13" ht="20" customHeight="1" x14ac:dyDescent="0.3">
      <c r="F64" s="208" t="s">
        <v>66</v>
      </c>
      <c r="G64" s="221">
        <f t="shared" si="17"/>
        <v>0</v>
      </c>
      <c r="H64" s="220">
        <f t="shared" si="18"/>
        <v>0</v>
      </c>
    </row>
    <row r="65" spans="2:10" ht="20" customHeight="1" x14ac:dyDescent="0.3">
      <c r="F65" s="208" t="s">
        <v>67</v>
      </c>
      <c r="G65" s="221">
        <f t="shared" si="17"/>
        <v>0</v>
      </c>
      <c r="H65" s="220">
        <f t="shared" si="18"/>
        <v>0</v>
      </c>
    </row>
    <row r="66" spans="2:10" ht="20" customHeight="1" x14ac:dyDescent="0.3">
      <c r="F66" s="208" t="s">
        <v>68</v>
      </c>
      <c r="G66" s="221">
        <f t="shared" si="17"/>
        <v>0</v>
      </c>
      <c r="H66" s="220">
        <f t="shared" si="18"/>
        <v>0</v>
      </c>
    </row>
    <row r="67" spans="2:10" ht="20" customHeight="1" x14ac:dyDescent="0.3">
      <c r="F67" s="208" t="s">
        <v>69</v>
      </c>
      <c r="G67" s="221">
        <f t="shared" si="17"/>
        <v>0</v>
      </c>
      <c r="H67" s="220">
        <f t="shared" si="18"/>
        <v>0</v>
      </c>
    </row>
    <row r="68" spans="2:10" ht="20" customHeight="1" x14ac:dyDescent="0.3">
      <c r="F68" s="208" t="s">
        <v>70</v>
      </c>
      <c r="G68" s="221">
        <f t="shared" si="17"/>
        <v>0</v>
      </c>
      <c r="H68" s="220">
        <f t="shared" si="18"/>
        <v>0</v>
      </c>
    </row>
    <row r="69" spans="2:10" ht="20" customHeight="1" x14ac:dyDescent="0.3">
      <c r="F69" s="208" t="s">
        <v>146</v>
      </c>
      <c r="G69" s="223">
        <f>+SUM(G63:G68)</f>
        <v>0</v>
      </c>
      <c r="H69" s="220">
        <f>+G69/($G$59*$D$58)</f>
        <v>0</v>
      </c>
    </row>
    <row r="70" spans="2:10" ht="13.5" thickBot="1" x14ac:dyDescent="0.35"/>
    <row r="71" spans="2:10" ht="30" customHeight="1" thickBot="1" x14ac:dyDescent="0.35">
      <c r="B71" s="191"/>
      <c r="C71" s="446" t="s">
        <v>107</v>
      </c>
      <c r="D71" s="446"/>
      <c r="E71" s="192"/>
      <c r="F71" s="192"/>
      <c r="G71" s="192"/>
      <c r="H71" s="192"/>
      <c r="I71" s="216"/>
      <c r="J71" s="193"/>
    </row>
    <row r="72" spans="2:10" ht="38" customHeight="1" x14ac:dyDescent="0.3">
      <c r="C72" s="208" t="s">
        <v>95</v>
      </c>
      <c r="D72" s="195">
        <f>SUMPRODUCT((LEFT(G21:G35, 5)="Scoop") / (COUNTIF(G21:G35, G21:G35 &amp; "") + (G21:G35="")))</f>
        <v>0</v>
      </c>
      <c r="E72" s="447" t="s">
        <v>90</v>
      </c>
      <c r="F72" s="447"/>
      <c r="G72" s="218">
        <v>0.20833333333333334</v>
      </c>
      <c r="I72" s="139"/>
      <c r="J72" s="190"/>
    </row>
    <row r="73" spans="2:10" ht="38" customHeight="1" x14ac:dyDescent="0.3">
      <c r="C73" s="208" t="s">
        <v>145</v>
      </c>
      <c r="D73" s="195">
        <v>4.9000000000000004</v>
      </c>
      <c r="E73" s="447" t="s">
        <v>97</v>
      </c>
      <c r="F73" s="447"/>
      <c r="G73" s="195">
        <f>15000/(60)</f>
        <v>250</v>
      </c>
      <c r="H73" s="219" t="s">
        <v>23</v>
      </c>
      <c r="I73" s="139"/>
      <c r="J73" s="190"/>
    </row>
    <row r="74" spans="2:10" ht="38" customHeight="1" x14ac:dyDescent="0.3">
      <c r="E74" s="448" t="s">
        <v>98</v>
      </c>
      <c r="F74" s="448"/>
      <c r="G74" s="207" t="e">
        <f>+SUM(SUMIF($G$21:$G$35, "Scoop*", $J$21:$J$35))/SUMPRODUCT((LEFT(G21:G35, 5)="Scoop") / (COUNTIF(G21:G35, G21:G35 &amp; "") + (G21:G35="")))</f>
        <v>#DIV/0!</v>
      </c>
      <c r="H74" s="220" t="e">
        <f>+G74*24/($G$72*24)</f>
        <v>#DIV/0!</v>
      </c>
      <c r="I74" s="190"/>
      <c r="J74" s="190"/>
    </row>
    <row r="75" spans="2:10" ht="38" customHeight="1" x14ac:dyDescent="0.3">
      <c r="E75" s="448" t="s">
        <v>99</v>
      </c>
      <c r="F75" s="448"/>
      <c r="G75" s="221" t="e">
        <f>+SUM(W21:W35)*D73/D72</f>
        <v>#DIV/0!</v>
      </c>
      <c r="H75" s="220" t="e">
        <f>+G75/G73</f>
        <v>#DIV/0!</v>
      </c>
      <c r="I75" s="190"/>
      <c r="J75" s="190"/>
    </row>
    <row r="76" spans="2:10" ht="38" customHeight="1" x14ac:dyDescent="0.3">
      <c r="G76" s="222" t="s">
        <v>96</v>
      </c>
      <c r="H76" s="139" t="s">
        <v>23</v>
      </c>
    </row>
    <row r="77" spans="2:10" ht="20" customHeight="1" x14ac:dyDescent="0.3">
      <c r="F77" s="208" t="s">
        <v>71</v>
      </c>
      <c r="G77" s="221">
        <f t="shared" ref="G77:G82" si="19" xml:space="preserve"> SUMIF($G$21:$G$35, +F77,$W$21:$W$35)*$D$73</f>
        <v>0</v>
      </c>
      <c r="H77" s="220">
        <f>+G77/$G$73</f>
        <v>0</v>
      </c>
    </row>
    <row r="78" spans="2:10" ht="20" customHeight="1" x14ac:dyDescent="0.3">
      <c r="F78" s="208" t="s">
        <v>72</v>
      </c>
      <c r="G78" s="221">
        <f t="shared" si="19"/>
        <v>0</v>
      </c>
      <c r="H78" s="220">
        <f t="shared" ref="H78:H83" si="20">+G78/$G$73</f>
        <v>0</v>
      </c>
    </row>
    <row r="79" spans="2:10" ht="20" customHeight="1" x14ac:dyDescent="0.3">
      <c r="F79" s="208" t="s">
        <v>73</v>
      </c>
      <c r="G79" s="221">
        <f t="shared" si="19"/>
        <v>0</v>
      </c>
      <c r="H79" s="220">
        <f t="shared" si="20"/>
        <v>0</v>
      </c>
    </row>
    <row r="80" spans="2:10" ht="20" customHeight="1" x14ac:dyDescent="0.3">
      <c r="F80" s="208" t="s">
        <v>74</v>
      </c>
      <c r="G80" s="221">
        <f t="shared" si="19"/>
        <v>0</v>
      </c>
      <c r="H80" s="220">
        <f t="shared" si="20"/>
        <v>0</v>
      </c>
    </row>
    <row r="81" spans="2:10" ht="20" customHeight="1" x14ac:dyDescent="0.3">
      <c r="F81" s="208" t="s">
        <v>75</v>
      </c>
      <c r="G81" s="221">
        <f t="shared" si="19"/>
        <v>0</v>
      </c>
      <c r="H81" s="220">
        <f t="shared" si="20"/>
        <v>0</v>
      </c>
    </row>
    <row r="82" spans="2:10" ht="20" customHeight="1" x14ac:dyDescent="0.3">
      <c r="F82" s="208" t="s">
        <v>76</v>
      </c>
      <c r="G82" s="221">
        <f t="shared" si="19"/>
        <v>0</v>
      </c>
      <c r="H82" s="220">
        <f t="shared" si="20"/>
        <v>0</v>
      </c>
    </row>
    <row r="83" spans="2:10" ht="20" customHeight="1" x14ac:dyDescent="0.3">
      <c r="F83" s="208" t="s">
        <v>146</v>
      </c>
      <c r="G83" s="223">
        <f>+SUM(G77:G82)</f>
        <v>0</v>
      </c>
      <c r="H83" s="220">
        <f t="shared" si="20"/>
        <v>0</v>
      </c>
    </row>
    <row r="84" spans="2:10" ht="13.5" thickBot="1" x14ac:dyDescent="0.35"/>
    <row r="85" spans="2:10" ht="30" customHeight="1" thickBot="1" x14ac:dyDescent="0.35">
      <c r="B85" s="191"/>
      <c r="C85" s="446" t="s">
        <v>149</v>
      </c>
      <c r="D85" s="446"/>
      <c r="E85" s="192"/>
      <c r="F85" s="192"/>
      <c r="G85" s="192"/>
      <c r="H85" s="192"/>
      <c r="I85" s="216"/>
      <c r="J85" s="193"/>
    </row>
    <row r="86" spans="2:10" ht="25.25" customHeight="1" x14ac:dyDescent="0.3">
      <c r="C86" s="208" t="s">
        <v>150</v>
      </c>
      <c r="D86" s="195">
        <f>SUMPRODUCT((LEFT(G21:G35, 8)="Roboshot") / (COUNTIF(G21:G35, G21:G35 &amp; "") + (G21:G35="")))</f>
        <v>0</v>
      </c>
      <c r="E86" s="447" t="s">
        <v>90</v>
      </c>
      <c r="F86" s="447"/>
      <c r="G86" s="218">
        <v>0.20833333333333334</v>
      </c>
    </row>
    <row r="87" spans="2:10" x14ac:dyDescent="0.3">
      <c r="C87" s="208"/>
      <c r="D87" s="195"/>
      <c r="E87" s="447" t="s">
        <v>97</v>
      </c>
      <c r="F87" s="447"/>
      <c r="G87" s="195">
        <v>12</v>
      </c>
      <c r="H87" s="219" t="s">
        <v>23</v>
      </c>
    </row>
    <row r="89" spans="2:10" x14ac:dyDescent="0.3">
      <c r="G89" s="222" t="s">
        <v>96</v>
      </c>
      <c r="H89" s="139" t="s">
        <v>23</v>
      </c>
    </row>
    <row r="90" spans="2:10" x14ac:dyDescent="0.3">
      <c r="F90" s="208" t="s">
        <v>77</v>
      </c>
      <c r="G90" s="221">
        <f xml:space="preserve"> SUMIF($G$21:$G$35, +F90,$X$21:$X$35)</f>
        <v>0</v>
      </c>
      <c r="H90" s="220">
        <f>+G90/$G$87</f>
        <v>0</v>
      </c>
    </row>
    <row r="91" spans="2:10" x14ac:dyDescent="0.3">
      <c r="F91" s="208" t="s">
        <v>78</v>
      </c>
      <c r="G91" s="221">
        <f xml:space="preserve"> SUMIF($G$21:$G$35, +F91,$X$21:$X$35)</f>
        <v>0</v>
      </c>
      <c r="H91" s="220">
        <f t="shared" ref="H91:H92" si="21">+G91/$G$87</f>
        <v>0</v>
      </c>
    </row>
    <row r="92" spans="2:10" x14ac:dyDescent="0.3">
      <c r="F92" s="208" t="s">
        <v>79</v>
      </c>
      <c r="G92" s="221">
        <f xml:space="preserve"> SUMIF($G$21:$G$35, +F92,$X$21:$X$35)</f>
        <v>0</v>
      </c>
      <c r="H92" s="220">
        <f t="shared" si="21"/>
        <v>0</v>
      </c>
    </row>
    <row r="93" spans="2:10" x14ac:dyDescent="0.3">
      <c r="F93" s="208" t="s">
        <v>146</v>
      </c>
      <c r="G93" s="223">
        <f>+SUM(G90:G92)</f>
        <v>0</v>
      </c>
      <c r="H93" s="220">
        <f>+G93/$G$87</f>
        <v>0</v>
      </c>
    </row>
  </sheetData>
  <mergeCells count="39">
    <mergeCell ref="E74:F74"/>
    <mergeCell ref="E75:F75"/>
    <mergeCell ref="C85:D85"/>
    <mergeCell ref="E86:F86"/>
    <mergeCell ref="E87:F87"/>
    <mergeCell ref="E48:G48"/>
    <mergeCell ref="E59:F59"/>
    <mergeCell ref="E60:F60"/>
    <mergeCell ref="E61:F61"/>
    <mergeCell ref="C71:D71"/>
    <mergeCell ref="C57:D57"/>
    <mergeCell ref="E49:G49"/>
    <mergeCell ref="E72:F72"/>
    <mergeCell ref="E73:F73"/>
    <mergeCell ref="E51:G51"/>
    <mergeCell ref="E52:G52"/>
    <mergeCell ref="E53:G53"/>
    <mergeCell ref="E55:G55"/>
    <mergeCell ref="E58:F58"/>
    <mergeCell ref="E41:F41"/>
    <mergeCell ref="E42:F42"/>
    <mergeCell ref="E43:F43"/>
    <mergeCell ref="E46:G46"/>
    <mergeCell ref="E47:G47"/>
    <mergeCell ref="C40:D40"/>
    <mergeCell ref="G40:H40"/>
    <mergeCell ref="I40:J40"/>
    <mergeCell ref="K40:L40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42:H43 J42:J43">
    <cfRule type="cellIs" dxfId="797" priority="13" operator="greaterThan">
      <formula>0.9</formula>
    </cfRule>
    <cfRule type="cellIs" dxfId="796" priority="14" operator="between">
      <formula>0.81</formula>
      <formula>0.89</formula>
    </cfRule>
    <cfRule type="cellIs" dxfId="795" priority="15" operator="lessThan">
      <formula>0.8</formula>
    </cfRule>
  </conditionalFormatting>
  <conditionalFormatting sqref="H60:H61">
    <cfRule type="cellIs" dxfId="794" priority="16" operator="greaterThan">
      <formula>0.9</formula>
    </cfRule>
    <cfRule type="cellIs" dxfId="793" priority="17" operator="between">
      <formula>0.81</formula>
      <formula>0.89</formula>
    </cfRule>
    <cfRule type="cellIs" dxfId="792" priority="18" operator="lessThan">
      <formula>0.8</formula>
    </cfRule>
  </conditionalFormatting>
  <conditionalFormatting sqref="H63:H69">
    <cfRule type="cellIs" dxfId="791" priority="19" operator="greaterThan">
      <formula>0.9</formula>
    </cfRule>
    <cfRule type="cellIs" dxfId="790" priority="20" operator="between">
      <formula>0.81</formula>
      <formula>0.89</formula>
    </cfRule>
    <cfRule type="cellIs" dxfId="789" priority="21" operator="lessThan">
      <formula>0.8</formula>
    </cfRule>
  </conditionalFormatting>
  <conditionalFormatting sqref="H74:H75">
    <cfRule type="cellIs" dxfId="788" priority="7" operator="greaterThan">
      <formula>0.9</formula>
    </cfRule>
    <cfRule type="cellIs" dxfId="787" priority="8" operator="between">
      <formula>0.81</formula>
      <formula>0.89</formula>
    </cfRule>
    <cfRule type="cellIs" dxfId="786" priority="9" operator="lessThan">
      <formula>0.8</formula>
    </cfRule>
  </conditionalFormatting>
  <conditionalFormatting sqref="H77:H83">
    <cfRule type="cellIs" dxfId="785" priority="10" operator="greaterThan">
      <formula>0.9</formula>
    </cfRule>
    <cfRule type="cellIs" dxfId="784" priority="11" operator="between">
      <formula>0.81</formula>
      <formula>0.89</formula>
    </cfRule>
    <cfRule type="cellIs" dxfId="783" priority="12" operator="lessThan">
      <formula>0.8</formula>
    </cfRule>
  </conditionalFormatting>
  <conditionalFormatting sqref="H90:H93">
    <cfRule type="cellIs" dxfId="782" priority="4" operator="greaterThan">
      <formula>0.9</formula>
    </cfRule>
    <cfRule type="cellIs" dxfId="781" priority="5" operator="between">
      <formula>0.81</formula>
      <formula>0.89</formula>
    </cfRule>
    <cfRule type="cellIs" dxfId="780" priority="6" operator="lessThan">
      <formula>0.8</formula>
    </cfRule>
  </conditionalFormatting>
  <conditionalFormatting sqref="L42:L43">
    <cfRule type="cellIs" dxfId="779" priority="1" operator="greaterThan">
      <formula>0.9</formula>
    </cfRule>
    <cfRule type="cellIs" dxfId="778" priority="2" operator="between">
      <formula>0.81</formula>
      <formula>0.89</formula>
    </cfRule>
    <cfRule type="cellIs" dxfId="777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4C0C9AF-A2ED-419F-9424-EDE79E36A09B}">
          <x14:formula1>
            <xm:f>Datos!$B$3:$B$8</xm:f>
          </x14:formula1>
          <xm:sqref>E31:E38 E21:E28</xm:sqref>
        </x14:dataValidation>
        <x14:dataValidation type="list" allowBlank="1" showInputMessage="1" showErrorMessage="1" xr:uid="{1BB04101-8D7C-44F2-8609-176B6892028F}">
          <x14:formula1>
            <xm:f>Datos!$D$3:$D$27</xm:f>
          </x14:formula1>
          <xm:sqref>F31:F38 F21:F28</xm:sqref>
        </x14:dataValidation>
        <x14:dataValidation type="list" allowBlank="1" showInputMessage="1" showErrorMessage="1" xr:uid="{36AF96A7-FC7E-4964-AE80-568DA14CE75E}">
          <x14:formula1>
            <xm:f>Datos!$W$3:$W$12</xm:f>
          </x14:formula1>
          <xm:sqref>L31:L38 L21:L28</xm:sqref>
        </x14:dataValidation>
        <x14:dataValidation type="list" allowBlank="1" showInputMessage="1" showErrorMessage="1" xr:uid="{7E998792-C1FB-4719-9684-261A15A5852A}">
          <x14:formula1>
            <xm:f>Datos!$F$3:$F$41</xm:f>
          </x14:formula1>
          <xm:sqref>G31:G38 G21:G28</xm:sqref>
        </x14:dataValidation>
        <x14:dataValidation type="list" allowBlank="1" showInputMessage="1" showErrorMessage="1" xr:uid="{35BA10B2-27B8-450A-8A58-9E14FE220AFA}">
          <x14:formula1>
            <xm:f>Datos!$H$3:$H$26</xm:f>
          </x14:formula1>
          <xm:sqref>D28 D38</xm:sqref>
        </x14:dataValidation>
        <x14:dataValidation type="list" allowBlank="1" showInputMessage="1" showErrorMessage="1" xr:uid="{E0C5F56E-0F72-4F27-969A-950C36E0E1BA}">
          <x14:formula1>
            <xm:f>Datos!$H$3:$H$34</xm:f>
          </x14:formula1>
          <xm:sqref>D31:D37 D21:D27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B3C61-3DDC-4A54-A96A-DB17B37A66EC}">
  <sheetPr>
    <pageSetUpPr fitToPage="1"/>
  </sheetPr>
  <dimension ref="B1:X95"/>
  <sheetViews>
    <sheetView showGridLines="0" topLeftCell="A19" zoomScale="70" zoomScaleNormal="70" zoomScaleSheetLayoutView="50" workbookViewId="0">
      <pane xSplit="3" ySplit="2" topLeftCell="D43" activePane="bottomRight" state="frozen"/>
      <selection activeCell="M54" sqref="M54"/>
      <selection pane="topRight" activeCell="M54" sqref="M54"/>
      <selection pane="bottomLeft" activeCell="M54" sqref="M54"/>
      <selection pane="bottomRight" activeCell="M54" sqref="M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14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+G43</f>
        <v>0.39236111111111116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+H44</f>
        <v>0.52500000000000002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63</v>
      </c>
      <c r="E21" s="172" t="s">
        <v>6</v>
      </c>
      <c r="F21" s="172" t="s">
        <v>167</v>
      </c>
      <c r="G21" s="172" t="s">
        <v>203</v>
      </c>
      <c r="H21" s="174">
        <v>0.89583333333333337</v>
      </c>
      <c r="I21" s="174">
        <v>0.95833333333333337</v>
      </c>
      <c r="J21" s="175">
        <f t="shared" ref="J21:J24" si="0">MOD(I21-H21, 1)</f>
        <v>6.25E-2</v>
      </c>
      <c r="K21" s="178">
        <v>38</v>
      </c>
      <c r="L21" s="177" t="s">
        <v>138</v>
      </c>
      <c r="M21" s="178">
        <v>3.8</v>
      </c>
      <c r="N21" s="179">
        <v>0.1</v>
      </c>
      <c r="O21" s="186" t="s">
        <v>373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1.3519680547632629E-2</v>
      </c>
      <c r="V21" s="183">
        <f>IF(OR(D21="Perforación de Fortificación", D21="Perforación de Avance", D21="Perforación Desquinche"), K21*M21, "")</f>
        <v>144.4</v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230</v>
      </c>
      <c r="E22" s="172" t="s">
        <v>6</v>
      </c>
      <c r="F22" s="172" t="s">
        <v>167</v>
      </c>
      <c r="G22" s="172" t="s">
        <v>213</v>
      </c>
      <c r="H22" s="174">
        <v>6.9444444444444441E-3</v>
      </c>
      <c r="I22" s="174">
        <v>4.8611111111111112E-2</v>
      </c>
      <c r="J22" s="175">
        <f t="shared" si="0"/>
        <v>4.1666666666666671E-2</v>
      </c>
      <c r="K22" s="178"/>
      <c r="L22" s="177"/>
      <c r="M22" s="178"/>
      <c r="N22" s="179"/>
      <c r="O22" s="225"/>
      <c r="P22" s="181"/>
      <c r="Q22" s="174"/>
      <c r="R22" s="172"/>
      <c r="S22" s="175">
        <f t="shared" ref="S22:S28" si="1">+MOD(R22-Q22,1)</f>
        <v>0</v>
      </c>
      <c r="U22" s="182">
        <f>+IFERROR(VLOOKUP(D22,Datos!$R$3:$T$19,3,FALSE), "0")*N22</f>
        <v>0</v>
      </c>
      <c r="V22" s="183" t="str">
        <f t="shared" ref="V22:V28" si="2">IF(OR(D22="Perforación de Fortificación", D22="Perforación de Avance", D22="Perforación Desquinche"), K22*M22, "")</f>
        <v/>
      </c>
      <c r="W22" s="183" t="str">
        <f t="shared" ref="W22:W28" si="3">IF(D22="Extracción de Marina Disparo",K22,"")</f>
        <v/>
      </c>
      <c r="X22" s="183" t="str">
        <f t="shared" ref="X22:X28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226</v>
      </c>
      <c r="E23" s="172" t="s">
        <v>6</v>
      </c>
      <c r="F23" s="172" t="s">
        <v>167</v>
      </c>
      <c r="G23" s="172" t="s">
        <v>203</v>
      </c>
      <c r="H23" s="174">
        <v>1.0416666666666666E-2</v>
      </c>
      <c r="I23" s="174">
        <v>6.9444444444444448E-2</v>
      </c>
      <c r="J23" s="175">
        <f t="shared" si="0"/>
        <v>5.9027777777777783E-2</v>
      </c>
      <c r="K23" s="178">
        <v>12</v>
      </c>
      <c r="L23" s="177" t="s">
        <v>138</v>
      </c>
      <c r="M23" s="178">
        <v>3.5</v>
      </c>
      <c r="N23" s="179">
        <v>1</v>
      </c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59</v>
      </c>
      <c r="E24" s="172" t="s">
        <v>6</v>
      </c>
      <c r="F24" s="172" t="s">
        <v>167</v>
      </c>
      <c r="G24" s="172"/>
      <c r="H24" s="174"/>
      <c r="I24" s="174"/>
      <c r="J24" s="175">
        <f t="shared" si="0"/>
        <v>0</v>
      </c>
      <c r="K24" s="178"/>
      <c r="L24" s="177"/>
      <c r="M24" s="178"/>
      <c r="N24" s="179">
        <v>0</v>
      </c>
      <c r="O24" s="186" t="s">
        <v>374</v>
      </c>
      <c r="P24" s="181"/>
      <c r="Q24" s="174"/>
      <c r="R24" s="174"/>
      <c r="S24" s="175"/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227</v>
      </c>
      <c r="E25" s="172" t="s">
        <v>6</v>
      </c>
      <c r="F25" s="172" t="s">
        <v>167</v>
      </c>
      <c r="G25" s="172" t="s">
        <v>211</v>
      </c>
      <c r="H25" s="174">
        <v>8.3333333333333329E-2</v>
      </c>
      <c r="I25" s="174">
        <v>0.3125</v>
      </c>
      <c r="J25" s="175">
        <f>MOD(I25-H25, 1)</f>
        <v>0.22916666666666669</v>
      </c>
      <c r="K25" s="178">
        <v>174</v>
      </c>
      <c r="L25" s="177" t="s">
        <v>129</v>
      </c>
      <c r="M25" s="178"/>
      <c r="N25" s="179">
        <v>1</v>
      </c>
      <c r="O25" s="225" t="s">
        <v>375</v>
      </c>
      <c r="P25" s="181"/>
      <c r="Q25" s="172"/>
      <c r="R25" s="172"/>
      <c r="S25" s="175">
        <f>+MOD(R25-Q25,1)</f>
        <v>0</v>
      </c>
      <c r="U25" s="182">
        <f>+IFERROR(VLOOKUP(D25,Datos!$R$3:$T$19,3,FALSE), "0")*N25</f>
        <v>8.3285795778665142E-2</v>
      </c>
      <c r="V25" s="183" t="str">
        <f>IF(OR(D25="Perforación de Fortificación", D25="Perforación de Avance", D25="Perforación Desquinche"), K25*M25, "")</f>
        <v/>
      </c>
      <c r="W25" s="183" t="str">
        <f>IF(D25="Extracción de Marina Disparo",K25,"")</f>
        <v/>
      </c>
      <c r="X25" s="183" t="str">
        <f>IF(OR(D25="Shotcrete", D25="Pre Shotcrete"), K25, "")</f>
        <v/>
      </c>
    </row>
    <row r="26" spans="2:24" ht="38" customHeight="1" x14ac:dyDescent="0.3">
      <c r="B26" s="172">
        <v>3500</v>
      </c>
      <c r="C26" s="173"/>
      <c r="D26" s="173"/>
      <c r="E26" s="172"/>
      <c r="F26" s="172"/>
      <c r="G26" s="172"/>
      <c r="H26" s="174"/>
      <c r="I26" s="174"/>
      <c r="J26" s="175">
        <f>MOD(I26-H26, 1)</f>
        <v>0</v>
      </c>
      <c r="K26" s="178"/>
      <c r="L26" s="177"/>
      <c r="M26" s="178"/>
      <c r="N26" s="179"/>
      <c r="O26" s="186"/>
      <c r="P26" s="181"/>
      <c r="Q26" s="174"/>
      <c r="R26" s="174"/>
      <c r="S26" s="175"/>
      <c r="U26" s="182">
        <f>+IFERROR(VLOOKUP(D26,Datos!$R$3:$T$19,3,FALSE), "0")*N26</f>
        <v>0</v>
      </c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ht="37.75" customHeight="1" x14ac:dyDescent="0.3">
      <c r="B27" s="172">
        <v>3500</v>
      </c>
      <c r="C27" s="173"/>
      <c r="D27" s="173"/>
      <c r="E27" s="172"/>
      <c r="F27" s="172"/>
      <c r="G27" s="172"/>
      <c r="H27" s="174"/>
      <c r="I27" s="174"/>
      <c r="J27" s="175">
        <f>MOD(I27-H27, 1)</f>
        <v>0</v>
      </c>
      <c r="K27" s="178"/>
      <c r="L27" s="177"/>
      <c r="M27" s="178"/>
      <c r="N27" s="179"/>
      <c r="O27" s="186"/>
      <c r="P27" s="181"/>
      <c r="Q27" s="174"/>
      <c r="R27" s="174"/>
      <c r="S27" s="175"/>
      <c r="U27" s="182">
        <f>+IFERROR(VLOOKUP(D27,Datos!$R$3:$T$19,3,FALSE), "0")*N27</f>
        <v>0</v>
      </c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 t="s">
        <v>329</v>
      </c>
      <c r="J28" s="175">
        <f>MOD(I25-H21, 1)</f>
        <v>0.41666666666666663</v>
      </c>
      <c r="K28" s="178"/>
      <c r="L28" s="177"/>
      <c r="M28" s="178"/>
      <c r="N28" s="179"/>
      <c r="O28" s="186" t="s">
        <v>367</v>
      </c>
      <c r="P28" s="172"/>
      <c r="Q28" s="172"/>
      <c r="R28" s="172"/>
      <c r="S28" s="175">
        <f t="shared" si="1"/>
        <v>0</v>
      </c>
      <c r="U28" s="182">
        <f>SUM(U21:U27)</f>
        <v>9.6805476326297768E-2</v>
      </c>
      <c r="V28" s="183" t="str">
        <f t="shared" si="2"/>
        <v/>
      </c>
      <c r="W28" s="183" t="str">
        <f t="shared" si="3"/>
        <v/>
      </c>
      <c r="X28" s="183" t="str">
        <f t="shared" si="4"/>
        <v/>
      </c>
    </row>
    <row r="29" spans="2:24" x14ac:dyDescent="0.3">
      <c r="B29" s="185" t="s">
        <v>158</v>
      </c>
      <c r="C29" s="63" t="s">
        <v>194</v>
      </c>
      <c r="D29" s="63"/>
      <c r="E29" s="63"/>
      <c r="F29" s="63"/>
      <c r="G29" s="63"/>
      <c r="H29" s="63"/>
      <c r="I29" s="63"/>
      <c r="J29" s="64"/>
      <c r="K29" s="64"/>
      <c r="L29" s="171"/>
      <c r="M29" s="63"/>
      <c r="N29" s="64"/>
      <c r="O29" s="64"/>
      <c r="P29" s="63"/>
      <c r="Q29" s="63"/>
      <c r="R29" s="63"/>
      <c r="S29" s="64"/>
      <c r="U29" s="63"/>
      <c r="V29" s="64"/>
      <c r="W29" s="64"/>
      <c r="X29" s="64"/>
    </row>
    <row r="30" spans="2:24" ht="52" x14ac:dyDescent="0.3">
      <c r="B30" s="63" t="s">
        <v>3</v>
      </c>
      <c r="C30" s="63" t="s">
        <v>2</v>
      </c>
      <c r="D30" s="63" t="s">
        <v>5</v>
      </c>
      <c r="E30" s="63" t="s">
        <v>22</v>
      </c>
      <c r="F30" s="63" t="s">
        <v>139</v>
      </c>
      <c r="G30" s="63" t="s">
        <v>29</v>
      </c>
      <c r="H30" s="63" t="s">
        <v>121</v>
      </c>
      <c r="I30" s="63" t="s">
        <v>4</v>
      </c>
      <c r="J30" s="64" t="s">
        <v>122</v>
      </c>
      <c r="K30" s="64" t="s">
        <v>131</v>
      </c>
      <c r="L30" s="171" t="s">
        <v>123</v>
      </c>
      <c r="M30" s="63" t="s">
        <v>134</v>
      </c>
      <c r="N30" s="64" t="s">
        <v>24</v>
      </c>
      <c r="O30" s="64" t="s">
        <v>130</v>
      </c>
      <c r="P30" s="63" t="s">
        <v>132</v>
      </c>
      <c r="Q30" s="63" t="s">
        <v>121</v>
      </c>
      <c r="R30" s="63" t="s">
        <v>4</v>
      </c>
      <c r="S30" s="64" t="s">
        <v>137</v>
      </c>
      <c r="U30" s="63" t="s">
        <v>109</v>
      </c>
      <c r="V30" s="64" t="s">
        <v>87</v>
      </c>
      <c r="W30" s="64" t="s">
        <v>128</v>
      </c>
      <c r="X30" s="64" t="s">
        <v>128</v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 t="s">
        <v>63</v>
      </c>
      <c r="E31" s="172" t="s">
        <v>6</v>
      </c>
      <c r="F31" s="172" t="s">
        <v>168</v>
      </c>
      <c r="G31" s="172" t="s">
        <v>202</v>
      </c>
      <c r="H31" s="174">
        <v>0.875</v>
      </c>
      <c r="I31" s="174">
        <v>0.96875</v>
      </c>
      <c r="J31" s="175">
        <f t="shared" ref="J31:J35" si="5">MOD(I31-H31, 1)</f>
        <v>9.375E-2</v>
      </c>
      <c r="K31" s="178"/>
      <c r="L31" s="177"/>
      <c r="M31" s="178"/>
      <c r="N31" s="179">
        <v>0</v>
      </c>
      <c r="O31" s="225" t="s">
        <v>368</v>
      </c>
      <c r="P31" s="225" t="s">
        <v>369</v>
      </c>
      <c r="Q31" s="174">
        <v>0.875</v>
      </c>
      <c r="R31" s="174">
        <v>0.96875</v>
      </c>
      <c r="S31" s="175">
        <f t="shared" ref="S31:S33" si="6">MOD(R31-Q31, 1)</f>
        <v>9.375E-2</v>
      </c>
      <c r="U31" s="187">
        <f>+IFERROR(VLOOKUP(D31,Datos!$R$24:$T$40,3,FALSE), "0")*N31</f>
        <v>0</v>
      </c>
      <c r="V31" s="183">
        <f t="shared" ref="V31:V39" si="7">IF(OR(D31="Perforación de Fortificación", D31="Perforación de Avance", D31="Perforación Desquinche"), K31*M31, "")</f>
        <v>0</v>
      </c>
      <c r="W31" s="183" t="str">
        <f>IF(D31="Extracción de Marina Disparo",K31,"")</f>
        <v/>
      </c>
      <c r="X31" s="183" t="str">
        <f t="shared" ref="X31:X39" si="8">IF(OR(D31="Shotcrete", D31="Pre Shotcrete"), K31, "")</f>
        <v/>
      </c>
    </row>
    <row r="32" spans="2:24" ht="38" customHeight="1" x14ac:dyDescent="0.3">
      <c r="B32" s="172">
        <v>3700</v>
      </c>
      <c r="C32" s="173" t="str">
        <f>+Datos!$R$23</f>
        <v>Ciclo Minero 5,2 x 5,6 m
Galería Acceso Portal de Servicio</v>
      </c>
      <c r="D32" s="173" t="s">
        <v>63</v>
      </c>
      <c r="E32" s="172" t="s">
        <v>6</v>
      </c>
      <c r="F32" s="172" t="s">
        <v>168</v>
      </c>
      <c r="G32" s="172" t="s">
        <v>202</v>
      </c>
      <c r="H32" s="174">
        <v>0.96875</v>
      </c>
      <c r="I32" s="174">
        <v>6.25E-2</v>
      </c>
      <c r="J32" s="175">
        <f t="shared" ref="J32" si="9">MOD(I32-H32, 1)</f>
        <v>9.375E-2</v>
      </c>
      <c r="K32" s="178">
        <v>62</v>
      </c>
      <c r="L32" s="177" t="s">
        <v>138</v>
      </c>
      <c r="M32" s="178">
        <v>3.8</v>
      </c>
      <c r="N32" s="179">
        <v>0.45</v>
      </c>
      <c r="O32" s="225" t="s">
        <v>370</v>
      </c>
      <c r="P32" s="173"/>
      <c r="Q32" s="174"/>
      <c r="R32" s="174"/>
      <c r="S32" s="175">
        <f t="shared" ref="S32" si="10">MOD(R32-Q32, 1)</f>
        <v>0</v>
      </c>
      <c r="U32" s="187">
        <f>+IFERROR(VLOOKUP(D32,Datos!$R$24:$T$40,3,FALSE), "0")*N32</f>
        <v>5.6744868035190618E-2</v>
      </c>
      <c r="V32" s="183">
        <f t="shared" ref="V32" si="11">IF(OR(D32="Perforación de Fortificación", D32="Perforación de Avance", D32="Perforación Desquinche"), K32*M32, "")</f>
        <v>235.6</v>
      </c>
      <c r="W32" s="183" t="str">
        <f>IF(D32="Extracción de Marina Disparo",K32,"")</f>
        <v/>
      </c>
      <c r="X32" s="183" t="str">
        <f t="shared" ref="X32" si="12">IF(OR(D32="Shotcrete", D32="Pre Shotcrete"), K32, "")</f>
        <v/>
      </c>
    </row>
    <row r="33" spans="2:24" ht="53.4" customHeight="1" x14ac:dyDescent="0.3">
      <c r="B33" s="172">
        <v>3700</v>
      </c>
      <c r="C33" s="173" t="str">
        <f>+C31</f>
        <v>Ciclo Minero 5,2 x 5,6 m
Galería Acceso Portal de Servicio</v>
      </c>
      <c r="D33" s="173" t="s">
        <v>59</v>
      </c>
      <c r="E33" s="172" t="s">
        <v>6</v>
      </c>
      <c r="F33" s="172" t="s">
        <v>168</v>
      </c>
      <c r="G33" s="172" t="s">
        <v>213</v>
      </c>
      <c r="H33" s="174">
        <v>0.125</v>
      </c>
      <c r="I33" s="174">
        <v>0.15972222222222221</v>
      </c>
      <c r="J33" s="175">
        <f t="shared" si="5"/>
        <v>3.472222222222221E-2</v>
      </c>
      <c r="K33" s="178"/>
      <c r="L33" s="177"/>
      <c r="M33" s="178"/>
      <c r="N33" s="179">
        <v>1</v>
      </c>
      <c r="O33" s="225"/>
      <c r="P33" s="181"/>
      <c r="Q33" s="174"/>
      <c r="R33" s="174"/>
      <c r="S33" s="175">
        <f t="shared" si="6"/>
        <v>0</v>
      </c>
      <c r="U33" s="187">
        <f>+IFERROR(VLOOKUP(D33,Datos!$R$24:$T$40,3,FALSE), "0")*N33</f>
        <v>9.7751710654936444E-3</v>
      </c>
      <c r="V33" s="183" t="str">
        <f t="shared" si="7"/>
        <v/>
      </c>
      <c r="W33" s="183" t="str">
        <f t="shared" ref="W33:W39" si="13">IF(D33="Extracción de Marina Disparo",K33,"")</f>
        <v/>
      </c>
      <c r="X33" s="183" t="str">
        <f t="shared" si="8"/>
        <v/>
      </c>
    </row>
    <row r="34" spans="2:24" ht="38" customHeight="1" x14ac:dyDescent="0.3">
      <c r="B34" s="172">
        <v>3700</v>
      </c>
      <c r="C34" s="173" t="str">
        <f>+C33</f>
        <v>Ciclo Minero 5,2 x 5,6 m
Galería Acceso Portal de Servicio</v>
      </c>
      <c r="D34" s="173" t="s">
        <v>227</v>
      </c>
      <c r="E34" s="172" t="s">
        <v>6</v>
      </c>
      <c r="F34" s="172" t="s">
        <v>168</v>
      </c>
      <c r="G34" s="172"/>
      <c r="H34" s="174">
        <v>0.22916666666666666</v>
      </c>
      <c r="I34" s="174">
        <v>0.27777777777777779</v>
      </c>
      <c r="J34" s="175">
        <f t="shared" si="5"/>
        <v>4.8611111111111133E-2</v>
      </c>
      <c r="K34" s="178"/>
      <c r="L34" s="177"/>
      <c r="M34" s="178"/>
      <c r="N34" s="179">
        <v>1</v>
      </c>
      <c r="O34" s="186" t="s">
        <v>371</v>
      </c>
      <c r="P34" s="172"/>
      <c r="Q34" s="172"/>
      <c r="R34" s="172"/>
      <c r="S34" s="175">
        <f t="shared" ref="S34:S39" si="14">+MOD(R34-Q34,1)</f>
        <v>0</v>
      </c>
      <c r="U34" s="187">
        <f>+IFERROR(VLOOKUP(D34,Datos!$R$24:$T$40,3,FALSE), "0")*N34</f>
        <v>7.2336265884652987E-2</v>
      </c>
      <c r="V34" s="183" t="str">
        <f t="shared" si="7"/>
        <v/>
      </c>
      <c r="W34" s="183" t="str">
        <f t="shared" si="13"/>
        <v/>
      </c>
      <c r="X34" s="183"/>
    </row>
    <row r="35" spans="2:24" ht="38" customHeight="1" x14ac:dyDescent="0.3">
      <c r="B35" s="172">
        <v>3700</v>
      </c>
      <c r="C35" s="173" t="s">
        <v>372</v>
      </c>
      <c r="D35" s="173" t="s">
        <v>63</v>
      </c>
      <c r="E35" s="172" t="s">
        <v>6</v>
      </c>
      <c r="F35" s="172" t="s">
        <v>168</v>
      </c>
      <c r="G35" s="172" t="s">
        <v>202</v>
      </c>
      <c r="H35" s="174">
        <v>6.9444444444444448E-2</v>
      </c>
      <c r="I35" s="174">
        <v>0.125</v>
      </c>
      <c r="J35" s="175">
        <f t="shared" si="5"/>
        <v>5.5555555555555552E-2</v>
      </c>
      <c r="K35" s="178">
        <v>14</v>
      </c>
      <c r="L35" s="177" t="s">
        <v>138</v>
      </c>
      <c r="M35" s="178"/>
      <c r="N35" s="179">
        <v>0.2</v>
      </c>
      <c r="O35" s="186"/>
      <c r="P35" s="181"/>
      <c r="Q35" s="174"/>
      <c r="R35" s="174"/>
      <c r="S35" s="175">
        <f t="shared" si="14"/>
        <v>0</v>
      </c>
      <c r="U35" s="187">
        <f>+IFERROR(VLOOKUP(D35,Datos!$R$24:$T$40,3,FALSE), "0")*N35</f>
        <v>2.521994134897361E-2</v>
      </c>
      <c r="V35" s="183">
        <f t="shared" si="7"/>
        <v>0</v>
      </c>
      <c r="W35" s="183" t="str">
        <f t="shared" si="13"/>
        <v/>
      </c>
      <c r="X35" s="183" t="str">
        <f t="shared" si="8"/>
        <v/>
      </c>
    </row>
    <row r="36" spans="2:24" ht="38" customHeight="1" x14ac:dyDescent="0.3">
      <c r="B36" s="172">
        <v>3700</v>
      </c>
      <c r="C36" s="173" t="str">
        <f>+C35</f>
        <v>Frontón Bodega</v>
      </c>
      <c r="D36" s="173" t="s">
        <v>105</v>
      </c>
      <c r="E36" s="172" t="s">
        <v>6</v>
      </c>
      <c r="F36" s="172" t="s">
        <v>168</v>
      </c>
      <c r="G36" s="172" t="s">
        <v>204</v>
      </c>
      <c r="H36" s="174">
        <v>0.3125</v>
      </c>
      <c r="I36" s="174">
        <v>0.33333333333333331</v>
      </c>
      <c r="J36" s="175">
        <f>MOD(I36-H36, 1)</f>
        <v>2.0833333333333315E-2</v>
      </c>
      <c r="K36" s="178">
        <v>10</v>
      </c>
      <c r="L36" s="177" t="s">
        <v>128</v>
      </c>
      <c r="M36" s="178"/>
      <c r="N36" s="179">
        <v>0.25</v>
      </c>
      <c r="O36" s="225"/>
      <c r="P36" s="172"/>
      <c r="Q36" s="172"/>
      <c r="R36" s="172"/>
      <c r="S36" s="175">
        <f t="shared" si="14"/>
        <v>0</v>
      </c>
      <c r="U36" s="187">
        <f>+IFERROR(VLOOKUP(D36,Datos!$R$24:$T$40,3,FALSE), "0")*N36</f>
        <v>0</v>
      </c>
      <c r="V36" s="183" t="str">
        <f t="shared" si="7"/>
        <v/>
      </c>
      <c r="W36" s="183" t="str">
        <f t="shared" si="13"/>
        <v/>
      </c>
      <c r="X36" s="183" t="str">
        <f t="shared" si="8"/>
        <v/>
      </c>
    </row>
    <row r="37" spans="2:24" ht="38" customHeight="1" x14ac:dyDescent="0.3">
      <c r="B37" s="172">
        <v>3700</v>
      </c>
      <c r="C37" s="173"/>
      <c r="D37" s="173"/>
      <c r="E37" s="172"/>
      <c r="F37" s="172"/>
      <c r="G37" s="172"/>
      <c r="H37" s="174"/>
      <c r="I37" s="174"/>
      <c r="J37" s="175"/>
      <c r="K37" s="178"/>
      <c r="L37" s="177"/>
      <c r="M37" s="178"/>
      <c r="N37" s="179"/>
      <c r="O37" s="186"/>
      <c r="P37" s="172"/>
      <c r="Q37" s="172"/>
      <c r="R37" s="172"/>
      <c r="S37" s="175">
        <f t="shared" si="14"/>
        <v>0</v>
      </c>
      <c r="U37" s="187"/>
      <c r="V37" s="183" t="str">
        <f t="shared" si="7"/>
        <v/>
      </c>
      <c r="W37" s="183" t="str">
        <f t="shared" si="13"/>
        <v/>
      </c>
      <c r="X37" s="183" t="str">
        <f t="shared" si="8"/>
        <v/>
      </c>
    </row>
    <row r="38" spans="2:24" ht="38" customHeight="1" x14ac:dyDescent="0.3">
      <c r="B38" s="172">
        <v>3700</v>
      </c>
      <c r="C38" s="173"/>
      <c r="D38" s="173"/>
      <c r="E38" s="172"/>
      <c r="F38" s="172"/>
      <c r="G38" s="172"/>
      <c r="H38" s="174"/>
      <c r="I38" s="174"/>
      <c r="J38" s="175">
        <f>MOD(I38-H38, 1)</f>
        <v>0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14"/>
        <v>0</v>
      </c>
      <c r="U38" s="187"/>
      <c r="V38" s="183" t="str">
        <f t="shared" si="7"/>
        <v/>
      </c>
      <c r="W38" s="183" t="str">
        <f t="shared" si="13"/>
        <v/>
      </c>
      <c r="X38" s="183" t="str">
        <f t="shared" si="8"/>
        <v/>
      </c>
    </row>
    <row r="39" spans="2:24" ht="38" customHeight="1" x14ac:dyDescent="0.3">
      <c r="B39" s="172"/>
      <c r="C39" s="173"/>
      <c r="D39" s="173"/>
      <c r="E39" s="172"/>
      <c r="F39" s="172"/>
      <c r="G39" s="172"/>
      <c r="H39" s="174"/>
      <c r="I39" s="174" t="s">
        <v>329</v>
      </c>
      <c r="J39" s="175">
        <f>MOD(I36-H31, 1)</f>
        <v>0.45833333333333326</v>
      </c>
      <c r="K39" s="178"/>
      <c r="L39" s="177"/>
      <c r="M39" s="178"/>
      <c r="N39" s="179"/>
      <c r="O39" s="186" t="s">
        <v>367</v>
      </c>
      <c r="P39" s="172"/>
      <c r="Q39" s="172"/>
      <c r="R39" s="172"/>
      <c r="S39" s="175">
        <f t="shared" si="14"/>
        <v>0</v>
      </c>
      <c r="U39" s="182">
        <f>SUM(U31:U38)</f>
        <v>0.16407624633431084</v>
      </c>
      <c r="V39" s="183" t="str">
        <f t="shared" si="7"/>
        <v/>
      </c>
      <c r="W39" s="183" t="str">
        <f t="shared" si="13"/>
        <v/>
      </c>
      <c r="X39" s="183" t="str">
        <f t="shared" si="8"/>
        <v/>
      </c>
    </row>
    <row r="40" spans="2:24" ht="15.65" customHeight="1" thickBot="1" x14ac:dyDescent="0.35">
      <c r="B40" s="190"/>
      <c r="C40" s="190"/>
      <c r="D40" s="190"/>
      <c r="E40" s="190"/>
      <c r="F40" s="190"/>
      <c r="G40" s="190"/>
      <c r="H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</row>
    <row r="41" spans="2:24" ht="30" customHeight="1" thickBot="1" x14ac:dyDescent="0.35">
      <c r="B41" s="191"/>
      <c r="C41" s="446" t="s">
        <v>64</v>
      </c>
      <c r="D41" s="446"/>
      <c r="E41" s="192"/>
      <c r="F41" s="192"/>
      <c r="G41" s="431">
        <v>3500</v>
      </c>
      <c r="H41" s="432"/>
      <c r="I41" s="431">
        <v>3700</v>
      </c>
      <c r="J41" s="432"/>
      <c r="K41" s="433" t="s">
        <v>146</v>
      </c>
      <c r="L41" s="434"/>
      <c r="M41" s="190"/>
      <c r="N41" s="190"/>
      <c r="O41" s="190"/>
      <c r="P41" s="190"/>
      <c r="Q41" s="190"/>
      <c r="R41" s="190"/>
      <c r="S41" s="190"/>
    </row>
    <row r="42" spans="2:24" ht="30" customHeight="1" x14ac:dyDescent="0.3">
      <c r="C42" s="194" t="s">
        <v>48</v>
      </c>
      <c r="D42" s="195">
        <f>SUMPRODUCT((LEFT(F21:F36, 1)="C") / (COUNTIF(F21:F36, F21:F36 &amp; "") + (F21:F36="")))</f>
        <v>0</v>
      </c>
      <c r="E42" s="447" t="s">
        <v>90</v>
      </c>
      <c r="F42" s="447"/>
      <c r="G42" s="196">
        <v>0.26041666666666669</v>
      </c>
      <c r="H42" s="197" t="s">
        <v>23</v>
      </c>
      <c r="I42" s="196">
        <v>0.26041666666666669</v>
      </c>
      <c r="J42" s="197" t="s">
        <v>23</v>
      </c>
      <c r="K42" s="198">
        <f>+G42</f>
        <v>0.26041666666666669</v>
      </c>
      <c r="L42" s="197" t="s">
        <v>23</v>
      </c>
      <c r="M42" s="190"/>
      <c r="N42" s="190"/>
      <c r="O42" s="190"/>
      <c r="P42" s="190"/>
      <c r="Q42" s="190"/>
      <c r="R42" s="190"/>
      <c r="S42" s="190"/>
    </row>
    <row r="43" spans="2:24" x14ac:dyDescent="0.3">
      <c r="C43" s="194" t="s">
        <v>49</v>
      </c>
      <c r="D43" s="195">
        <f>SUMPRODUCT((LEFT(F21:F36, 1)="O") / (COUNTIF(F21:F36, F21:F36 &amp; "") + (F21:F36="")))</f>
        <v>0</v>
      </c>
      <c r="E43" s="448" t="s">
        <v>198</v>
      </c>
      <c r="F43" s="448"/>
      <c r="G43" s="199">
        <f>SUM(J21:J27)</f>
        <v>0.39236111111111116</v>
      </c>
      <c r="H43" s="200">
        <f>+G43*24/($G$42*24)</f>
        <v>1.5066666666666668</v>
      </c>
      <c r="I43" s="199">
        <f>SUM(J31:J36)</f>
        <v>0.34722222222222227</v>
      </c>
      <c r="J43" s="200">
        <f>+I43*24/($I$42*24)</f>
        <v>1.3333333333333335</v>
      </c>
      <c r="K43" s="201">
        <f>AVERAGE(G43+I43)/2</f>
        <v>0.36979166666666674</v>
      </c>
      <c r="L43" s="200">
        <f>+K43*24/($K$42*24)</f>
        <v>1.4200000000000004</v>
      </c>
      <c r="M43" s="190"/>
      <c r="N43" s="190"/>
      <c r="O43" s="190"/>
      <c r="P43" s="190"/>
      <c r="Q43" s="190"/>
      <c r="R43" s="190"/>
      <c r="S43" s="190"/>
    </row>
    <row r="44" spans="2:24" ht="43.25" customHeight="1" thickBot="1" x14ac:dyDescent="0.35">
      <c r="E44" s="448" t="s">
        <v>94</v>
      </c>
      <c r="F44" s="448"/>
      <c r="G44" s="202"/>
      <c r="H44" s="203">
        <f>+AVERAGE(N21:N28)</f>
        <v>0.52500000000000002</v>
      </c>
      <c r="I44" s="202"/>
      <c r="J44" s="203">
        <f>+AVERAGE(N31:N36)</f>
        <v>0.48333333333333339</v>
      </c>
      <c r="K44" s="204"/>
      <c r="L44" s="203">
        <f>+AVERAGE(N21:N36)</f>
        <v>0.50000000000000011</v>
      </c>
    </row>
    <row r="45" spans="2:24" ht="43.25" customHeight="1" x14ac:dyDescent="0.3">
      <c r="E45" s="205"/>
      <c r="F45" s="205"/>
      <c r="G45" s="206"/>
      <c r="H45" s="206"/>
      <c r="I45" s="137"/>
      <c r="J45" s="137"/>
      <c r="K45" s="137"/>
      <c r="L45" s="137"/>
    </row>
    <row r="46" spans="2:24" ht="43.25" customHeight="1" x14ac:dyDescent="0.3">
      <c r="E46" s="194"/>
      <c r="F46" s="194"/>
      <c r="G46" s="207"/>
      <c r="H46" s="208" t="s">
        <v>24</v>
      </c>
      <c r="I46" s="208" t="s">
        <v>199</v>
      </c>
      <c r="J46" s="208" t="s">
        <v>201</v>
      </c>
      <c r="K46" s="208" t="s">
        <v>258</v>
      </c>
      <c r="L46" s="345" t="s">
        <v>484</v>
      </c>
      <c r="M46" s="345" t="s">
        <v>485</v>
      </c>
      <c r="N46" s="208"/>
    </row>
    <row r="47" spans="2:24" ht="14.5" x14ac:dyDescent="0.35">
      <c r="E47" s="445" t="s">
        <v>174</v>
      </c>
      <c r="F47" s="445"/>
      <c r="G47" s="445"/>
      <c r="H47" s="209">
        <f>+U39</f>
        <v>0.16407624633431084</v>
      </c>
      <c r="I47" s="210">
        <f>+H47*$J$47*$K$47</f>
        <v>3.7035290322580638</v>
      </c>
      <c r="J47" s="211">
        <v>6.6</v>
      </c>
      <c r="K47" s="246">
        <v>3.42</v>
      </c>
      <c r="L47" s="344">
        <v>56.080975609756102</v>
      </c>
      <c r="M47" s="344">
        <f>+L47*K47*H47</f>
        <v>31.469321413346684</v>
      </c>
    </row>
    <row r="48" spans="2:24" ht="14.4" customHeight="1" x14ac:dyDescent="0.35">
      <c r="E48" s="445" t="s">
        <v>224</v>
      </c>
      <c r="F48" s="445"/>
      <c r="G48" s="445"/>
      <c r="H48" s="209"/>
      <c r="I48" s="210">
        <f>+J48*K48</f>
        <v>0</v>
      </c>
      <c r="J48" s="296">
        <f>1892/1000000</f>
        <v>1.892E-3</v>
      </c>
      <c r="K48" s="246">
        <f>+((15*4.4)*2.72)*0</f>
        <v>0</v>
      </c>
      <c r="L48" s="346">
        <v>1.6919982016368774E-2</v>
      </c>
      <c r="M48" s="344">
        <f>+L48*K48</f>
        <v>0</v>
      </c>
    </row>
    <row r="49" spans="2:13" ht="14.4" customHeight="1" x14ac:dyDescent="0.35">
      <c r="E49" s="445" t="s">
        <v>359</v>
      </c>
      <c r="F49" s="445"/>
      <c r="G49" s="445"/>
      <c r="H49" s="209"/>
      <c r="I49" s="210">
        <f>+J49*K49</f>
        <v>8.5772735999999998</v>
      </c>
      <c r="J49" s="214">
        <v>0.340368</v>
      </c>
      <c r="K49" s="246">
        <v>25.2</v>
      </c>
      <c r="L49" s="346">
        <v>2.2358937544867188</v>
      </c>
      <c r="M49" s="344">
        <f>+L49*K49</f>
        <v>56.344522613065315</v>
      </c>
    </row>
    <row r="50" spans="2:13" ht="14.4" customHeight="1" x14ac:dyDescent="0.35">
      <c r="E50" s="445" t="s">
        <v>376</v>
      </c>
      <c r="F50" s="445"/>
      <c r="G50" s="445"/>
      <c r="H50" s="209">
        <v>0.5</v>
      </c>
      <c r="I50" s="210">
        <f>+H50*$J$50*$K$50</f>
        <v>6.3944731800000003</v>
      </c>
      <c r="J50" s="214">
        <f>23683234/1000000</f>
        <v>23.683233999999999</v>
      </c>
      <c r="K50" s="226">
        <v>0.54</v>
      </c>
      <c r="L50" s="346">
        <v>254.98967741935485</v>
      </c>
      <c r="M50" s="344">
        <f>+L50*K50*H50</f>
        <v>68.84721290322581</v>
      </c>
    </row>
    <row r="51" spans="2:13" ht="14.4" customHeight="1" x14ac:dyDescent="0.3">
      <c r="E51" s="445" t="s">
        <v>298</v>
      </c>
      <c r="F51" s="445"/>
      <c r="G51" s="445"/>
      <c r="H51" s="209"/>
      <c r="I51" s="210">
        <f>SUM(I47:I50)</f>
        <v>18.675275812258064</v>
      </c>
      <c r="J51" s="214"/>
      <c r="K51" s="246"/>
      <c r="L51" s="349"/>
      <c r="M51" s="349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/>
    </row>
    <row r="53" spans="2:13" ht="14.4" customHeight="1" x14ac:dyDescent="0.35">
      <c r="E53" s="445" t="s">
        <v>175</v>
      </c>
      <c r="F53" s="445"/>
      <c r="G53" s="445"/>
      <c r="H53" s="209">
        <f>+U28</f>
        <v>9.6805476326297768E-2</v>
      </c>
      <c r="I53" s="210">
        <f>+H53*$J$53*$K$53</f>
        <v>3.9066818026240733</v>
      </c>
      <c r="J53" s="211">
        <v>11.8</v>
      </c>
      <c r="K53" s="246">
        <v>3.42</v>
      </c>
      <c r="L53" s="344">
        <v>118.52055555555555</v>
      </c>
      <c r="M53" s="344">
        <f>+L53*K53*H53</f>
        <v>39.239160815744434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0</v>
      </c>
      <c r="J54" s="296">
        <f>+J48</f>
        <v>1.892E-3</v>
      </c>
      <c r="K54" s="246">
        <f>+((15*2.8)*2.72)*0</f>
        <v>0</v>
      </c>
      <c r="L54" s="346">
        <v>1.6919982016368774E-2</v>
      </c>
      <c r="M54" s="344">
        <f>+L54*K54</f>
        <v>0</v>
      </c>
    </row>
    <row r="55" spans="2:13" ht="14.4" customHeight="1" x14ac:dyDescent="0.35">
      <c r="E55" s="445" t="s">
        <v>297</v>
      </c>
      <c r="F55" s="445"/>
      <c r="G55" s="445"/>
      <c r="H55" s="209"/>
      <c r="I55" s="210">
        <f>SUM(I53:I54)</f>
        <v>3.9066818026240733</v>
      </c>
      <c r="J55" s="214"/>
      <c r="K55" s="246"/>
      <c r="L55" s="347"/>
      <c r="M55" s="344"/>
    </row>
    <row r="56" spans="2:13" ht="14.4" customHeight="1" x14ac:dyDescent="0.3">
      <c r="E56" s="227"/>
      <c r="F56" s="227"/>
      <c r="G56" s="227"/>
      <c r="H56" s="209"/>
      <c r="I56" s="210"/>
      <c r="J56" s="214"/>
      <c r="K56" s="246"/>
      <c r="L56" s="351"/>
      <c r="M56" s="349"/>
    </row>
    <row r="57" spans="2:13" ht="14.4" customHeight="1" x14ac:dyDescent="0.35">
      <c r="E57" s="445" t="s">
        <v>236</v>
      </c>
      <c r="F57" s="445"/>
      <c r="G57" s="445"/>
      <c r="H57" s="209"/>
      <c r="I57" s="210">
        <f>+J57*K57</f>
        <v>0</v>
      </c>
      <c r="J57" s="214">
        <f>25508/1000000</f>
        <v>2.5507999999999999E-2</v>
      </c>
      <c r="K57" s="246">
        <f>14.43*0</f>
        <v>0</v>
      </c>
      <c r="L57" s="347" t="s">
        <v>486</v>
      </c>
      <c r="M57" s="349"/>
    </row>
    <row r="58" spans="2:13" ht="13.5" thickBot="1" x14ac:dyDescent="0.35">
      <c r="M58" s="352">
        <f>SUM(M47:M57)</f>
        <v>195.90021774538226</v>
      </c>
    </row>
    <row r="59" spans="2:13" ht="30" customHeight="1" thickBot="1" x14ac:dyDescent="0.35">
      <c r="B59" s="191"/>
      <c r="C59" s="446" t="s">
        <v>88</v>
      </c>
      <c r="D59" s="446"/>
      <c r="E59" s="192"/>
      <c r="F59" s="192"/>
      <c r="G59" s="192"/>
      <c r="H59" s="192"/>
      <c r="I59" s="216"/>
      <c r="J59" s="193"/>
    </row>
    <row r="60" spans="2:13" ht="38" customHeight="1" x14ac:dyDescent="0.3">
      <c r="C60" s="217" t="s">
        <v>89</v>
      </c>
      <c r="D60" s="195">
        <f>SUMPRODUCT((LEFT(G21:G36, 5)="Jumbo") / (COUNTIF(G21:G36, G21:G36 &amp; "") + (G21:G36="")))</f>
        <v>1.9999999999999998</v>
      </c>
      <c r="E60" s="447" t="s">
        <v>90</v>
      </c>
      <c r="F60" s="447"/>
      <c r="G60" s="218">
        <v>0.20833333333333334</v>
      </c>
      <c r="I60" s="139"/>
      <c r="J60" s="190"/>
    </row>
    <row r="61" spans="2:13" ht="38" customHeight="1" x14ac:dyDescent="0.3">
      <c r="E61" s="447" t="s">
        <v>93</v>
      </c>
      <c r="F61" s="447"/>
      <c r="G61" s="195">
        <f>15000/(60)</f>
        <v>250</v>
      </c>
      <c r="H61" s="219" t="s">
        <v>143</v>
      </c>
      <c r="I61" s="139"/>
      <c r="J61" s="190"/>
    </row>
    <row r="62" spans="2:13" ht="38" customHeight="1" x14ac:dyDescent="0.3">
      <c r="E62" s="448" t="s">
        <v>91</v>
      </c>
      <c r="F62" s="448"/>
      <c r="G62" s="207">
        <f>+SUM(SUMIF($G$21:$G$36, "Jumbo*", $J$21:$J$36))/SUMPRODUCT((LEFT(G21:G36, 5)="Jumbo") / (COUNTIF(G21:G36, G21:G36 &amp; "") + (G21:G36="")))</f>
        <v>0.18229166666666671</v>
      </c>
      <c r="H62" s="220">
        <f>+G62*24/($G$60*24)</f>
        <v>0.87500000000000022</v>
      </c>
      <c r="I62" s="190"/>
      <c r="J62" s="190"/>
    </row>
    <row r="63" spans="2:13" ht="38" customHeight="1" x14ac:dyDescent="0.3">
      <c r="E63" s="448" t="s">
        <v>92</v>
      </c>
      <c r="F63" s="448"/>
      <c r="G63" s="221">
        <f>+SUM(V21:V36)/D60</f>
        <v>190.00000000000003</v>
      </c>
      <c r="H63" s="220">
        <f>+G63/G61</f>
        <v>0.76000000000000012</v>
      </c>
      <c r="I63" s="190"/>
      <c r="J63" s="190"/>
    </row>
    <row r="64" spans="2:13" ht="38" customHeight="1" x14ac:dyDescent="0.3">
      <c r="G64" s="222" t="s">
        <v>87</v>
      </c>
      <c r="H64" s="139" t="s">
        <v>23</v>
      </c>
    </row>
    <row r="65" spans="2:10" ht="20" customHeight="1" x14ac:dyDescent="0.3">
      <c r="F65" s="208" t="s">
        <v>65</v>
      </c>
      <c r="G65" s="221">
        <f t="shared" ref="G65:G70" si="15" xml:space="preserve"> SUMIF($G$21:$G$36, +F65,$V$21:$V$36)</f>
        <v>0</v>
      </c>
      <c r="H65" s="220">
        <f t="shared" ref="H65:H70" si="16">+G65/$G$61</f>
        <v>0</v>
      </c>
    </row>
    <row r="66" spans="2:10" ht="20" customHeight="1" x14ac:dyDescent="0.3">
      <c r="F66" s="208" t="s">
        <v>66</v>
      </c>
      <c r="G66" s="221">
        <f t="shared" si="15"/>
        <v>0</v>
      </c>
      <c r="H66" s="220">
        <f t="shared" si="16"/>
        <v>0</v>
      </c>
    </row>
    <row r="67" spans="2:10" ht="20" customHeight="1" x14ac:dyDescent="0.3">
      <c r="F67" s="208" t="s">
        <v>67</v>
      </c>
      <c r="G67" s="221">
        <f t="shared" si="15"/>
        <v>0</v>
      </c>
      <c r="H67" s="220">
        <f t="shared" si="16"/>
        <v>0</v>
      </c>
    </row>
    <row r="68" spans="2:10" ht="20" customHeight="1" x14ac:dyDescent="0.3">
      <c r="F68" s="208" t="s">
        <v>68</v>
      </c>
      <c r="G68" s="221">
        <f t="shared" si="15"/>
        <v>0</v>
      </c>
      <c r="H68" s="220">
        <f t="shared" si="16"/>
        <v>0</v>
      </c>
    </row>
    <row r="69" spans="2:10" ht="20" customHeight="1" x14ac:dyDescent="0.3">
      <c r="F69" s="208" t="s">
        <v>69</v>
      </c>
      <c r="G69" s="221">
        <f t="shared" si="15"/>
        <v>0</v>
      </c>
      <c r="H69" s="220">
        <f t="shared" si="16"/>
        <v>0</v>
      </c>
    </row>
    <row r="70" spans="2:10" ht="20" customHeight="1" x14ac:dyDescent="0.3">
      <c r="F70" s="208" t="s">
        <v>70</v>
      </c>
      <c r="G70" s="221">
        <f t="shared" si="15"/>
        <v>0</v>
      </c>
      <c r="H70" s="220">
        <f t="shared" si="16"/>
        <v>0</v>
      </c>
    </row>
    <row r="71" spans="2:10" ht="20" customHeight="1" x14ac:dyDescent="0.3">
      <c r="F71" s="208" t="s">
        <v>146</v>
      </c>
      <c r="G71" s="223">
        <f>+SUM(G65:G70)</f>
        <v>0</v>
      </c>
      <c r="H71" s="220">
        <f>+G71/($G$61*$D$60)</f>
        <v>0</v>
      </c>
    </row>
    <row r="72" spans="2:10" ht="13.5" thickBot="1" x14ac:dyDescent="0.35"/>
    <row r="73" spans="2:10" ht="30" customHeight="1" thickBot="1" x14ac:dyDescent="0.35">
      <c r="B73" s="191"/>
      <c r="C73" s="446" t="s">
        <v>107</v>
      </c>
      <c r="D73" s="446"/>
      <c r="E73" s="192"/>
      <c r="F73" s="192"/>
      <c r="G73" s="192"/>
      <c r="H73" s="192"/>
      <c r="I73" s="216"/>
      <c r="J73" s="193"/>
    </row>
    <row r="74" spans="2:10" ht="38" customHeight="1" x14ac:dyDescent="0.3">
      <c r="C74" s="208" t="s">
        <v>95</v>
      </c>
      <c r="D74" s="195">
        <f>SUMPRODUCT((LEFT(G21:G36, 5)="Scoop") / (COUNTIF(G21:G36, G21:G36 &amp; "") + (G21:G36="")))</f>
        <v>1</v>
      </c>
      <c r="E74" s="447" t="s">
        <v>90</v>
      </c>
      <c r="F74" s="447"/>
      <c r="G74" s="218">
        <v>0.20833333333333334</v>
      </c>
      <c r="I74" s="139"/>
      <c r="J74" s="190"/>
    </row>
    <row r="75" spans="2:10" ht="38" customHeight="1" x14ac:dyDescent="0.3">
      <c r="C75" s="208" t="s">
        <v>145</v>
      </c>
      <c r="D75" s="195">
        <v>4.9000000000000004</v>
      </c>
      <c r="E75" s="447" t="s">
        <v>97</v>
      </c>
      <c r="F75" s="447"/>
      <c r="G75" s="195">
        <f>15000/(60)</f>
        <v>250</v>
      </c>
      <c r="H75" s="219" t="s">
        <v>23</v>
      </c>
      <c r="I75" s="139"/>
      <c r="J75" s="190"/>
    </row>
    <row r="76" spans="2:10" ht="38" customHeight="1" x14ac:dyDescent="0.3">
      <c r="E76" s="448" t="s">
        <v>98</v>
      </c>
      <c r="F76" s="448"/>
      <c r="G76" s="207">
        <f>+SUM(SUMIF($G$21:$G$36, "Scoop*", $J$21:$J$36))/SUMPRODUCT((LEFT(G21:G36, 5)="Scoop") / (COUNTIF(G21:G36, G21:G36 &amp; "") + (G21:G36="")))</f>
        <v>2.0833333333333315E-2</v>
      </c>
      <c r="H76" s="220">
        <f>+G76*24/($G$74*24)</f>
        <v>9.9999999999999908E-2</v>
      </c>
      <c r="I76" s="190"/>
      <c r="J76" s="190"/>
    </row>
    <row r="77" spans="2:10" ht="38" customHeight="1" x14ac:dyDescent="0.3">
      <c r="E77" s="448" t="s">
        <v>99</v>
      </c>
      <c r="F77" s="448"/>
      <c r="G77" s="221">
        <f>+SUM(W21:W36)*D75/D74</f>
        <v>0</v>
      </c>
      <c r="H77" s="220">
        <f>+G77/G75</f>
        <v>0</v>
      </c>
      <c r="I77" s="190"/>
      <c r="J77" s="190"/>
    </row>
    <row r="78" spans="2:10" ht="38" customHeight="1" x14ac:dyDescent="0.3">
      <c r="G78" s="222" t="s">
        <v>96</v>
      </c>
      <c r="H78" s="139" t="s">
        <v>23</v>
      </c>
    </row>
    <row r="79" spans="2:10" ht="20" customHeight="1" x14ac:dyDescent="0.3">
      <c r="F79" s="208" t="s">
        <v>71</v>
      </c>
      <c r="G79" s="221">
        <f t="shared" ref="G79:G84" si="17" xml:space="preserve"> SUMIF($G$21:$G$36, +F79,$W$21:$W$36)*$D$75</f>
        <v>0</v>
      </c>
      <c r="H79" s="220">
        <f>+G79/$G$75</f>
        <v>0</v>
      </c>
    </row>
    <row r="80" spans="2:10" ht="20" customHeight="1" x14ac:dyDescent="0.3">
      <c r="F80" s="208" t="s">
        <v>72</v>
      </c>
      <c r="G80" s="221">
        <f t="shared" si="17"/>
        <v>0</v>
      </c>
      <c r="H80" s="220">
        <f t="shared" ref="H80:H85" si="18">+G80/$G$75</f>
        <v>0</v>
      </c>
    </row>
    <row r="81" spans="2:10" ht="20" customHeight="1" x14ac:dyDescent="0.3">
      <c r="F81" s="208" t="s">
        <v>73</v>
      </c>
      <c r="G81" s="221">
        <f t="shared" si="17"/>
        <v>0</v>
      </c>
      <c r="H81" s="220">
        <f t="shared" si="18"/>
        <v>0</v>
      </c>
    </row>
    <row r="82" spans="2:10" ht="20" customHeight="1" x14ac:dyDescent="0.3">
      <c r="F82" s="208" t="s">
        <v>74</v>
      </c>
      <c r="G82" s="221">
        <f t="shared" si="17"/>
        <v>0</v>
      </c>
      <c r="H82" s="220">
        <f t="shared" si="18"/>
        <v>0</v>
      </c>
    </row>
    <row r="83" spans="2:10" ht="20" customHeight="1" x14ac:dyDescent="0.3">
      <c r="F83" s="208" t="s">
        <v>75</v>
      </c>
      <c r="G83" s="221">
        <f t="shared" si="17"/>
        <v>0</v>
      </c>
      <c r="H83" s="220">
        <f t="shared" si="18"/>
        <v>0</v>
      </c>
    </row>
    <row r="84" spans="2:10" ht="20" customHeight="1" x14ac:dyDescent="0.3">
      <c r="F84" s="208" t="s">
        <v>76</v>
      </c>
      <c r="G84" s="221">
        <f t="shared" si="17"/>
        <v>0</v>
      </c>
      <c r="H84" s="220">
        <f t="shared" si="18"/>
        <v>0</v>
      </c>
    </row>
    <row r="85" spans="2:10" ht="20" customHeight="1" x14ac:dyDescent="0.3">
      <c r="F85" s="208" t="s">
        <v>146</v>
      </c>
      <c r="G85" s="223">
        <f>+SUM(G79:G84)</f>
        <v>0</v>
      </c>
      <c r="H85" s="220">
        <f t="shared" si="18"/>
        <v>0</v>
      </c>
    </row>
    <row r="86" spans="2:10" ht="13.5" thickBot="1" x14ac:dyDescent="0.35"/>
    <row r="87" spans="2:10" ht="30" customHeight="1" thickBot="1" x14ac:dyDescent="0.35">
      <c r="B87" s="191"/>
      <c r="C87" s="446" t="s">
        <v>149</v>
      </c>
      <c r="D87" s="446"/>
      <c r="E87" s="192"/>
      <c r="F87" s="192"/>
      <c r="G87" s="192"/>
      <c r="H87" s="192"/>
      <c r="I87" s="216"/>
      <c r="J87" s="193"/>
    </row>
    <row r="88" spans="2:10" ht="25.25" customHeight="1" x14ac:dyDescent="0.3">
      <c r="C88" s="208" t="s">
        <v>150</v>
      </c>
      <c r="D88" s="195">
        <f>SUMPRODUCT((LEFT(G21:G36, 8)="Roboshot") / (COUNTIF(G21:G36, G21:G36 &amp; "") + (G21:G36="")))</f>
        <v>0</v>
      </c>
      <c r="E88" s="447" t="s">
        <v>90</v>
      </c>
      <c r="F88" s="447"/>
      <c r="G88" s="218">
        <v>0.20833333333333334</v>
      </c>
    </row>
    <row r="89" spans="2:10" x14ac:dyDescent="0.3">
      <c r="C89" s="208"/>
      <c r="D89" s="195"/>
      <c r="E89" s="447" t="s">
        <v>97</v>
      </c>
      <c r="F89" s="447"/>
      <c r="G89" s="195">
        <v>12</v>
      </c>
      <c r="H89" s="219" t="s">
        <v>23</v>
      </c>
    </row>
    <row r="91" spans="2:10" x14ac:dyDescent="0.3">
      <c r="G91" s="222" t="s">
        <v>96</v>
      </c>
      <c r="H91" s="139" t="s">
        <v>23</v>
      </c>
    </row>
    <row r="92" spans="2:10" x14ac:dyDescent="0.3">
      <c r="F92" s="208" t="s">
        <v>77</v>
      </c>
      <c r="G92" s="221">
        <f xml:space="preserve"> SUMIF($G$21:$G$36, +F92,$X$21:$X$36)</f>
        <v>0</v>
      </c>
      <c r="H92" s="220">
        <f>+G92/$G$89</f>
        <v>0</v>
      </c>
    </row>
    <row r="93" spans="2:10" x14ac:dyDescent="0.3">
      <c r="F93" s="208" t="s">
        <v>78</v>
      </c>
      <c r="G93" s="221">
        <f xml:space="preserve"> SUMIF($G$21:$G$36, +F93,$X$21:$X$36)</f>
        <v>0</v>
      </c>
      <c r="H93" s="220">
        <f t="shared" ref="H93:H94" si="19">+G93/$G$89</f>
        <v>0</v>
      </c>
    </row>
    <row r="94" spans="2:10" x14ac:dyDescent="0.3">
      <c r="F94" s="208" t="s">
        <v>79</v>
      </c>
      <c r="G94" s="221">
        <f xml:space="preserve"> SUMIF($G$21:$G$36, +F94,$X$21:$X$36)</f>
        <v>0</v>
      </c>
      <c r="H94" s="220">
        <f t="shared" si="19"/>
        <v>0</v>
      </c>
    </row>
    <row r="95" spans="2:10" x14ac:dyDescent="0.3">
      <c r="F95" s="208" t="s">
        <v>146</v>
      </c>
      <c r="G95" s="223">
        <f>+SUM(G92:G94)</f>
        <v>0</v>
      </c>
      <c r="H95" s="220">
        <f>+G95/$G$89</f>
        <v>0</v>
      </c>
    </row>
  </sheetData>
  <mergeCells count="40">
    <mergeCell ref="K8:L8"/>
    <mergeCell ref="B1:D4"/>
    <mergeCell ref="E2:R2"/>
    <mergeCell ref="E3:R4"/>
    <mergeCell ref="K6:L6"/>
    <mergeCell ref="K7:L7"/>
    <mergeCell ref="E49:G49"/>
    <mergeCell ref="K9:L9"/>
    <mergeCell ref="K10:L10"/>
    <mergeCell ref="K11:L11"/>
    <mergeCell ref="K12:L12"/>
    <mergeCell ref="B14:S14"/>
    <mergeCell ref="C41:D41"/>
    <mergeCell ref="G41:H41"/>
    <mergeCell ref="I41:J41"/>
    <mergeCell ref="K41:L41"/>
    <mergeCell ref="E42:F42"/>
    <mergeCell ref="E43:F43"/>
    <mergeCell ref="E44:F44"/>
    <mergeCell ref="E47:G47"/>
    <mergeCell ref="E48:G48"/>
    <mergeCell ref="E88:F88"/>
    <mergeCell ref="E89:F89"/>
    <mergeCell ref="E60:F60"/>
    <mergeCell ref="E61:F61"/>
    <mergeCell ref="E62:F62"/>
    <mergeCell ref="E63:F63"/>
    <mergeCell ref="E74:F74"/>
    <mergeCell ref="E50:G50"/>
    <mergeCell ref="E75:F75"/>
    <mergeCell ref="E76:F76"/>
    <mergeCell ref="E77:F77"/>
    <mergeCell ref="C87:D87"/>
    <mergeCell ref="C73:D73"/>
    <mergeCell ref="E51:G51"/>
    <mergeCell ref="E53:G53"/>
    <mergeCell ref="E54:G54"/>
    <mergeCell ref="E55:G55"/>
    <mergeCell ref="E57:G57"/>
    <mergeCell ref="C59:D59"/>
  </mergeCells>
  <conditionalFormatting sqref="H43:H44 J43:J44">
    <cfRule type="cellIs" dxfId="776" priority="13" operator="greaterThan">
      <formula>0.9</formula>
    </cfRule>
    <cfRule type="cellIs" dxfId="775" priority="14" operator="between">
      <formula>0.81</formula>
      <formula>0.89</formula>
    </cfRule>
    <cfRule type="cellIs" dxfId="774" priority="15" operator="lessThan">
      <formula>0.8</formula>
    </cfRule>
  </conditionalFormatting>
  <conditionalFormatting sqref="H62:H63">
    <cfRule type="cellIs" dxfId="773" priority="16" operator="greaterThan">
      <formula>0.9</formula>
    </cfRule>
    <cfRule type="cellIs" dxfId="772" priority="17" operator="between">
      <formula>0.81</formula>
      <formula>0.89</formula>
    </cfRule>
    <cfRule type="cellIs" dxfId="771" priority="18" operator="lessThan">
      <formula>0.8</formula>
    </cfRule>
  </conditionalFormatting>
  <conditionalFormatting sqref="H65:H71">
    <cfRule type="cellIs" dxfId="770" priority="19" operator="greaterThan">
      <formula>0.9</formula>
    </cfRule>
    <cfRule type="cellIs" dxfId="769" priority="20" operator="between">
      <formula>0.81</formula>
      <formula>0.89</formula>
    </cfRule>
    <cfRule type="cellIs" dxfId="768" priority="21" operator="lessThan">
      <formula>0.8</formula>
    </cfRule>
  </conditionalFormatting>
  <conditionalFormatting sqref="H76:H77">
    <cfRule type="cellIs" dxfId="767" priority="7" operator="greaterThan">
      <formula>0.9</formula>
    </cfRule>
    <cfRule type="cellIs" dxfId="766" priority="8" operator="between">
      <formula>0.81</formula>
      <formula>0.89</formula>
    </cfRule>
    <cfRule type="cellIs" dxfId="765" priority="9" operator="lessThan">
      <formula>0.8</formula>
    </cfRule>
  </conditionalFormatting>
  <conditionalFormatting sqref="H79:H85">
    <cfRule type="cellIs" dxfId="764" priority="10" operator="greaterThan">
      <formula>0.9</formula>
    </cfRule>
    <cfRule type="cellIs" dxfId="763" priority="11" operator="between">
      <formula>0.81</formula>
      <formula>0.89</formula>
    </cfRule>
    <cfRule type="cellIs" dxfId="762" priority="12" operator="lessThan">
      <formula>0.8</formula>
    </cfRule>
  </conditionalFormatting>
  <conditionalFormatting sqref="H92:H95">
    <cfRule type="cellIs" dxfId="761" priority="4" operator="greaterThan">
      <formula>0.9</formula>
    </cfRule>
    <cfRule type="cellIs" dxfId="760" priority="5" operator="between">
      <formula>0.81</formula>
      <formula>0.89</formula>
    </cfRule>
    <cfRule type="cellIs" dxfId="759" priority="6" operator="lessThan">
      <formula>0.8</formula>
    </cfRule>
  </conditionalFormatting>
  <conditionalFormatting sqref="L43:L44">
    <cfRule type="cellIs" dxfId="758" priority="1" operator="greaterThan">
      <formula>0.9</formula>
    </cfRule>
    <cfRule type="cellIs" dxfId="757" priority="2" operator="between">
      <formula>0.81</formula>
      <formula>0.89</formula>
    </cfRule>
    <cfRule type="cellIs" dxfId="756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E17DB79-7610-4286-B37A-EB6538BFDB3A}">
          <x14:formula1>
            <xm:f>Datos!$F$3:$F$41</xm:f>
          </x14:formula1>
          <xm:sqref>G31:G39 G21:G28</xm:sqref>
        </x14:dataValidation>
        <x14:dataValidation type="list" allowBlank="1" showInputMessage="1" showErrorMessage="1" xr:uid="{60D4BEFD-B538-467C-B4BE-06510D25F6B2}">
          <x14:formula1>
            <xm:f>Datos!$W$3:$W$12</xm:f>
          </x14:formula1>
          <xm:sqref>L31:L39 L21:L28</xm:sqref>
        </x14:dataValidation>
        <x14:dataValidation type="list" allowBlank="1" showInputMessage="1" showErrorMessage="1" xr:uid="{F9EC296F-46DA-44E5-913D-B713FB199591}">
          <x14:formula1>
            <xm:f>Datos!$D$3:$D$27</xm:f>
          </x14:formula1>
          <xm:sqref>F21:F28 F31:F39</xm:sqref>
        </x14:dataValidation>
        <x14:dataValidation type="list" allowBlank="1" showInputMessage="1" showErrorMessage="1" xr:uid="{09623E8F-7D75-406E-B718-F8805C12BEBC}">
          <x14:formula1>
            <xm:f>Datos!$B$3:$B$8</xm:f>
          </x14:formula1>
          <xm:sqref>E21:E28 E31:E39</xm:sqref>
        </x14:dataValidation>
        <x14:dataValidation type="list" allowBlank="1" showInputMessage="1" showErrorMessage="1" xr:uid="{CA45A655-E0D0-4CD3-B1C8-1E760050D644}">
          <x14:formula1>
            <xm:f>Datos!$H$3:$H$34</xm:f>
          </x14:formula1>
          <xm:sqref>D31:D38 D21:D27</xm:sqref>
        </x14:dataValidation>
        <x14:dataValidation type="list" allowBlank="1" showInputMessage="1" showErrorMessage="1" xr:uid="{9CEF2E25-C23F-4D5B-8EFB-40F4E8B661A1}">
          <x14:formula1>
            <xm:f>Datos!$H$3:$H$26</xm:f>
          </x14:formula1>
          <xm:sqref>D28 D39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477F1-84D1-4A00-9A64-F4230014E206}">
  <sheetPr>
    <pageSetUpPr fitToPage="1"/>
  </sheetPr>
  <dimension ref="B1:X95"/>
  <sheetViews>
    <sheetView showGridLines="0" topLeftCell="A19" zoomScale="70" zoomScaleNormal="70" zoomScaleSheetLayoutView="50" workbookViewId="0">
      <pane xSplit="3" ySplit="2" topLeftCell="D33" activePane="bottomRight" state="frozen"/>
      <selection activeCell="M54" sqref="M54"/>
      <selection pane="topRight" activeCell="M54" sqref="M54"/>
      <selection pane="bottomLeft" activeCell="M54" sqref="M54"/>
      <selection pane="bottomRight" activeCell="M54" sqref="M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4.179687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0.66319444444444442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0.45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173</v>
      </c>
      <c r="E21" s="172" t="s">
        <v>6</v>
      </c>
      <c r="F21" s="172" t="s">
        <v>169</v>
      </c>
      <c r="G21" s="172" t="s">
        <v>203</v>
      </c>
      <c r="H21" s="174">
        <v>0.40972222222222221</v>
      </c>
      <c r="I21" s="174">
        <v>0.54166666666666663</v>
      </c>
      <c r="J21" s="175">
        <f t="shared" ref="J21:J24" si="0">MOD(I21-H21, 1)</f>
        <v>0.13194444444444442</v>
      </c>
      <c r="K21" s="178">
        <v>20</v>
      </c>
      <c r="L21" s="177" t="s">
        <v>138</v>
      </c>
      <c r="M21" s="178">
        <v>2</v>
      </c>
      <c r="N21" s="179">
        <v>0</v>
      </c>
      <c r="O21" s="186" t="s">
        <v>379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172</v>
      </c>
      <c r="E22" s="172" t="s">
        <v>6</v>
      </c>
      <c r="F22" s="172" t="s">
        <v>169</v>
      </c>
      <c r="G22" s="172" t="s">
        <v>212</v>
      </c>
      <c r="H22" s="174">
        <v>0.4375</v>
      </c>
      <c r="I22" s="174">
        <v>0.5625</v>
      </c>
      <c r="J22" s="175">
        <f t="shared" si="0"/>
        <v>0.125</v>
      </c>
      <c r="K22" s="178">
        <v>50</v>
      </c>
      <c r="L22" s="177"/>
      <c r="M22" s="178"/>
      <c r="N22" s="179">
        <v>0.1</v>
      </c>
      <c r="O22" s="225" t="s">
        <v>380</v>
      </c>
      <c r="P22" s="181"/>
      <c r="Q22" s="174"/>
      <c r="R22" s="172"/>
      <c r="S22" s="175">
        <f t="shared" ref="S22:S27" si="1">+MOD(R22-Q22,1)</f>
        <v>0</v>
      </c>
      <c r="U22" s="182">
        <f>+IFERROR(VLOOKUP(D22,Datos!$R$3:$T$19,3,FALSE), "0")*N22</f>
        <v>0</v>
      </c>
      <c r="V22" s="183" t="str">
        <f t="shared" ref="V22:V27" si="2">IF(OR(D22="Perforación de Fortificación", D22="Perforación de Avance", D22="Perforación Desquinche"), K22*M22, "")</f>
        <v/>
      </c>
      <c r="W22" s="183" t="str">
        <f t="shared" ref="W22:W27" si="3">IF(D22="Extracción de Marina Disparo",K22,"")</f>
        <v/>
      </c>
      <c r="X22" s="183" t="str">
        <f t="shared" ref="X22:X27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105</v>
      </c>
      <c r="E23" s="172" t="s">
        <v>6</v>
      </c>
      <c r="F23" s="172" t="s">
        <v>169</v>
      </c>
      <c r="G23" s="172" t="s">
        <v>205</v>
      </c>
      <c r="H23" s="174">
        <v>0.65625</v>
      </c>
      <c r="I23" s="174">
        <v>0.73611111111111116</v>
      </c>
      <c r="J23" s="175">
        <f t="shared" si="0"/>
        <v>7.986111111111116E-2</v>
      </c>
      <c r="K23" s="178">
        <v>3</v>
      </c>
      <c r="L23" s="177"/>
      <c r="M23" s="178"/>
      <c r="N23" s="179">
        <v>1</v>
      </c>
      <c r="O23" s="186" t="s">
        <v>381</v>
      </c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104</v>
      </c>
      <c r="E24" s="172" t="s">
        <v>6</v>
      </c>
      <c r="F24" s="172" t="s">
        <v>169</v>
      </c>
      <c r="G24" s="172" t="s">
        <v>205</v>
      </c>
      <c r="H24" s="174">
        <v>0.54861111111111116</v>
      </c>
      <c r="I24" s="174">
        <v>0.8125</v>
      </c>
      <c r="J24" s="175">
        <f t="shared" si="0"/>
        <v>0.26388888888888884</v>
      </c>
      <c r="K24" s="178">
        <v>35</v>
      </c>
      <c r="L24" s="177" t="s">
        <v>128</v>
      </c>
      <c r="M24" s="178"/>
      <c r="N24" s="179">
        <v>0.7</v>
      </c>
      <c r="O24" s="186" t="s">
        <v>382</v>
      </c>
      <c r="P24" s="181" t="s">
        <v>383</v>
      </c>
      <c r="Q24" s="174">
        <v>0.58333333333333337</v>
      </c>
      <c r="R24" s="174">
        <v>0.63194444444444442</v>
      </c>
      <c r="S24" s="175">
        <f t="shared" ref="S24" si="5">MOD(R24-Q24, 1)</f>
        <v>4.8611111111111049E-2</v>
      </c>
      <c r="U24" s="182">
        <f>+IFERROR(VLOOKUP(D24,Datos!$R$3:$T$19,3,FALSE), "0")*N24</f>
        <v>0.15733029092983455</v>
      </c>
      <c r="V24" s="183" t="str">
        <f t="shared" si="2"/>
        <v/>
      </c>
      <c r="W24" s="183">
        <f t="shared" si="3"/>
        <v>35</v>
      </c>
      <c r="X24" s="183" t="str">
        <f t="shared" si="4"/>
        <v/>
      </c>
    </row>
    <row r="25" spans="2:24" ht="38" customHeight="1" x14ac:dyDescent="0.3">
      <c r="B25" s="172">
        <v>3500</v>
      </c>
      <c r="C25" s="173" t="s">
        <v>384</v>
      </c>
      <c r="D25" s="173" t="s">
        <v>172</v>
      </c>
      <c r="E25" s="172" t="s">
        <v>6</v>
      </c>
      <c r="F25" s="172" t="s">
        <v>169</v>
      </c>
      <c r="G25" s="172" t="s">
        <v>212</v>
      </c>
      <c r="H25" s="174">
        <v>0.55555555555555558</v>
      </c>
      <c r="I25" s="174">
        <v>0.61805555555555558</v>
      </c>
      <c r="J25" s="175">
        <f>MOD(I25-H25, 1)</f>
        <v>6.25E-2</v>
      </c>
      <c r="K25" s="178">
        <v>20</v>
      </c>
      <c r="L25" s="177"/>
      <c r="M25" s="178"/>
      <c r="N25" s="179"/>
      <c r="O25" s="225" t="s">
        <v>385</v>
      </c>
      <c r="P25" s="181"/>
      <c r="Q25" s="174"/>
      <c r="R25" s="174"/>
      <c r="S25" s="175"/>
      <c r="U25" s="182">
        <f>+IFERROR(VLOOKUP(D25,Datos!$R$3:$T$19,3,FALSE), "0")*N25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7.75" customHeight="1" x14ac:dyDescent="0.3">
      <c r="B26" s="172">
        <v>3500</v>
      </c>
      <c r="C26" s="173"/>
      <c r="D26" s="173"/>
      <c r="E26" s="172"/>
      <c r="F26" s="172"/>
      <c r="G26" s="172"/>
      <c r="H26" s="174"/>
      <c r="I26" s="174"/>
      <c r="J26" s="175">
        <f>MOD(I26-H26, 1)</f>
        <v>0</v>
      </c>
      <c r="K26" s="178"/>
      <c r="L26" s="177"/>
      <c r="M26" s="178"/>
      <c r="N26" s="179"/>
      <c r="O26" s="186"/>
      <c r="P26" s="181"/>
      <c r="Q26" s="174"/>
      <c r="R26" s="174"/>
      <c r="S26" s="175"/>
      <c r="U26" s="182">
        <f>+IFERROR(VLOOKUP(D26,Datos!$R$3:$T$19,3,FALSE), "0")*N26</f>
        <v>0</v>
      </c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MOD(I24-H21, 1)</f>
        <v>0.40277777777777779</v>
      </c>
      <c r="K27" s="178"/>
      <c r="L27" s="177"/>
      <c r="M27" s="178"/>
      <c r="N27" s="179"/>
      <c r="O27" s="186" t="s">
        <v>386</v>
      </c>
      <c r="P27" s="172"/>
      <c r="Q27" s="172"/>
      <c r="R27" s="172"/>
      <c r="S27" s="175">
        <f t="shared" si="1"/>
        <v>0</v>
      </c>
      <c r="U27" s="182">
        <f>SUM(U21:U26)</f>
        <v>0.15733029092983455</v>
      </c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 t="s">
        <v>104</v>
      </c>
      <c r="E30" s="172" t="s">
        <v>6</v>
      </c>
      <c r="F30" s="172" t="s">
        <v>170</v>
      </c>
      <c r="G30" s="172" t="s">
        <v>205</v>
      </c>
      <c r="H30" s="174">
        <v>0.39583333333333331</v>
      </c>
      <c r="I30" s="174">
        <v>0.5</v>
      </c>
      <c r="J30" s="175">
        <f t="shared" ref="J30:J34" si="6">MOD(I30-H30, 1)</f>
        <v>0.10416666666666669</v>
      </c>
      <c r="K30" s="178">
        <v>25</v>
      </c>
      <c r="L30" s="177" t="s">
        <v>128</v>
      </c>
      <c r="M30" s="178"/>
      <c r="N30" s="179">
        <v>1</v>
      </c>
      <c r="O30" s="225"/>
      <c r="P30" s="225"/>
      <c r="Q30" s="174"/>
      <c r="R30" s="174"/>
      <c r="S30" s="175">
        <f t="shared" ref="S30:S32" si="7">MOD(R30-Q30, 1)</f>
        <v>0</v>
      </c>
      <c r="U30" s="187">
        <f>+IFERROR(VLOOKUP(D30,Datos!$R$24:$T$40,3,FALSE), "0")*N30</f>
        <v>0.17399804496578691</v>
      </c>
      <c r="V30" s="183" t="str">
        <f t="shared" ref="V30:V38" si="8">IF(OR(D30="Perforación de Fortificación", D30="Perforación de Avance", D30="Perforación Desquinche"), K30*M30, "")</f>
        <v/>
      </c>
      <c r="W30" s="183">
        <f>IF(D30="Extracción de Marina Disparo",K30,"")</f>
        <v>25</v>
      </c>
      <c r="X30" s="183" t="str">
        <f t="shared" ref="X30:X38" si="9">IF(OR(D30="Shotcrete", D30="Pre Shotcrete"), K30, "")</f>
        <v/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 t="s">
        <v>56</v>
      </c>
      <c r="E31" s="172" t="s">
        <v>6</v>
      </c>
      <c r="F31" s="172" t="s">
        <v>170</v>
      </c>
      <c r="G31" s="172" t="s">
        <v>209</v>
      </c>
      <c r="H31" s="174">
        <v>0.50347222222222221</v>
      </c>
      <c r="I31" s="174">
        <v>0.55208333333333337</v>
      </c>
      <c r="J31" s="175">
        <f t="shared" si="6"/>
        <v>4.861111111111116E-2</v>
      </c>
      <c r="K31" s="178"/>
      <c r="L31" s="177"/>
      <c r="M31" s="178"/>
      <c r="N31" s="179">
        <v>1</v>
      </c>
      <c r="O31" s="225"/>
      <c r="P31" s="173"/>
      <c r="Q31" s="174"/>
      <c r="R31" s="174"/>
      <c r="S31" s="175">
        <f t="shared" si="7"/>
        <v>0</v>
      </c>
      <c r="U31" s="187">
        <f>+IFERROR(VLOOKUP(D31,Datos!$R$24:$T$40,3,FALSE), "0")*N31</f>
        <v>5.5718475073313775E-2</v>
      </c>
      <c r="V31" s="183" t="str">
        <f t="shared" si="8"/>
        <v/>
      </c>
      <c r="W31" s="183" t="str">
        <f>IF(D31="Extracción de Marina Disparo",K31,"")</f>
        <v/>
      </c>
      <c r="X31" s="183" t="str">
        <f t="shared" si="9"/>
        <v/>
      </c>
    </row>
    <row r="32" spans="2:24" ht="53.4" customHeight="1" x14ac:dyDescent="0.3">
      <c r="B32" s="172">
        <v>3700</v>
      </c>
      <c r="C32" s="173" t="str">
        <f>+C30</f>
        <v>Ciclo Minero 5,2 x 5,6 m
Galería Acceso Portal de Servicio</v>
      </c>
      <c r="D32" s="173" t="s">
        <v>59</v>
      </c>
      <c r="E32" s="172" t="s">
        <v>6</v>
      </c>
      <c r="F32" s="172" t="s">
        <v>170</v>
      </c>
      <c r="G32" s="172" t="s">
        <v>213</v>
      </c>
      <c r="H32" s="174">
        <v>0.56597222222222221</v>
      </c>
      <c r="I32" s="174">
        <v>0.59722222222222221</v>
      </c>
      <c r="J32" s="175">
        <f t="shared" si="6"/>
        <v>3.125E-2</v>
      </c>
      <c r="K32" s="178">
        <v>2</v>
      </c>
      <c r="L32" s="177" t="s">
        <v>128</v>
      </c>
      <c r="M32" s="178"/>
      <c r="N32" s="179">
        <v>1</v>
      </c>
      <c r="O32" s="225"/>
      <c r="P32" s="181"/>
      <c r="Q32" s="174"/>
      <c r="R32" s="174"/>
      <c r="S32" s="175">
        <f t="shared" si="7"/>
        <v>0</v>
      </c>
      <c r="U32" s="187">
        <f>+IFERROR(VLOOKUP(D32,Datos!$R$24:$T$40,3,FALSE), "0")*N32</f>
        <v>9.7751710654936444E-3</v>
      </c>
      <c r="V32" s="183" t="str">
        <f t="shared" si="8"/>
        <v/>
      </c>
      <c r="W32" s="183" t="str">
        <f t="shared" ref="W32:W38" si="10">IF(D32="Extracción de Marina Disparo",K32,"")</f>
        <v/>
      </c>
      <c r="X32" s="183" t="str">
        <f t="shared" si="9"/>
        <v/>
      </c>
    </row>
    <row r="33" spans="2:24" ht="38" customHeight="1" x14ac:dyDescent="0.3">
      <c r="B33" s="172">
        <v>3700</v>
      </c>
      <c r="C33" s="173" t="str">
        <f>+C32</f>
        <v>Ciclo Minero 5,2 x 5,6 m
Galería Acceso Portal de Servicio</v>
      </c>
      <c r="D33" s="173" t="s">
        <v>173</v>
      </c>
      <c r="E33" s="172" t="s">
        <v>6</v>
      </c>
      <c r="F33" s="172" t="s">
        <v>170</v>
      </c>
      <c r="G33" s="172"/>
      <c r="H33" s="174">
        <v>0.59722222222222221</v>
      </c>
      <c r="I33" s="174">
        <v>0.64583333333333337</v>
      </c>
      <c r="J33" s="175">
        <f t="shared" si="6"/>
        <v>4.861111111111116E-2</v>
      </c>
      <c r="K33" s="178">
        <v>24</v>
      </c>
      <c r="L33" s="177" t="s">
        <v>125</v>
      </c>
      <c r="M33" s="178">
        <v>3</v>
      </c>
      <c r="N33" s="179">
        <v>1</v>
      </c>
      <c r="O33" s="186"/>
      <c r="P33" s="172"/>
      <c r="Q33" s="172"/>
      <c r="R33" s="172"/>
      <c r="S33" s="175">
        <f t="shared" ref="S33:S38" si="11">+MOD(R33-Q33,1)</f>
        <v>0</v>
      </c>
      <c r="U33" s="187">
        <f>+IFERROR(VLOOKUP(D33,Datos!$R$24:$T$40,3,FALSE), "0")*N33</f>
        <v>4.1055718475073312E-2</v>
      </c>
      <c r="V33" s="183" t="str">
        <f t="shared" si="8"/>
        <v/>
      </c>
      <c r="W33" s="183" t="str">
        <f t="shared" si="10"/>
        <v/>
      </c>
      <c r="X33" s="183"/>
    </row>
    <row r="34" spans="2:24" ht="38" customHeight="1" x14ac:dyDescent="0.3">
      <c r="B34" s="172">
        <v>3700</v>
      </c>
      <c r="C34" s="173" t="str">
        <f>+C33</f>
        <v>Ciclo Minero 5,2 x 5,6 m
Galería Acceso Portal de Servicio</v>
      </c>
      <c r="D34" s="173" t="s">
        <v>57</v>
      </c>
      <c r="E34" s="172" t="s">
        <v>6</v>
      </c>
      <c r="F34" s="172" t="s">
        <v>170</v>
      </c>
      <c r="G34" s="172" t="s">
        <v>202</v>
      </c>
      <c r="H34" s="174">
        <v>0.64583333333333337</v>
      </c>
      <c r="I34" s="174">
        <v>0.69444444444444442</v>
      </c>
      <c r="J34" s="175">
        <f t="shared" si="6"/>
        <v>4.8611111111111049E-2</v>
      </c>
      <c r="K34" s="178">
        <v>24</v>
      </c>
      <c r="L34" s="177" t="s">
        <v>129</v>
      </c>
      <c r="M34" s="178"/>
      <c r="N34" s="179">
        <v>1</v>
      </c>
      <c r="O34" s="186"/>
      <c r="P34" s="181"/>
      <c r="Q34" s="174"/>
      <c r="R34" s="174"/>
      <c r="S34" s="175">
        <f t="shared" si="11"/>
        <v>0</v>
      </c>
      <c r="U34" s="187">
        <f>+IFERROR(VLOOKUP(D34,Datos!$R$24:$T$40,3,FALSE), "0")*N34</f>
        <v>7.42913000977517E-2</v>
      </c>
      <c r="V34" s="183">
        <f t="shared" si="8"/>
        <v>0</v>
      </c>
      <c r="W34" s="183" t="str">
        <f t="shared" si="10"/>
        <v/>
      </c>
      <c r="X34" s="183" t="str">
        <f t="shared" si="9"/>
        <v/>
      </c>
    </row>
    <row r="35" spans="2:24" ht="38" customHeight="1" x14ac:dyDescent="0.3">
      <c r="B35" s="172">
        <v>3700</v>
      </c>
      <c r="C35" s="173" t="str">
        <f>+C34</f>
        <v>Ciclo Minero 5,2 x 5,6 m
Galería Acceso Portal de Servicio</v>
      </c>
      <c r="D35" s="173" t="s">
        <v>54</v>
      </c>
      <c r="E35" s="172" t="s">
        <v>6</v>
      </c>
      <c r="F35" s="172" t="s">
        <v>170</v>
      </c>
      <c r="G35" s="172" t="s">
        <v>211</v>
      </c>
      <c r="H35" s="174">
        <v>0.71180555555555558</v>
      </c>
      <c r="I35" s="174">
        <v>0.75694444444444442</v>
      </c>
      <c r="J35" s="175">
        <f>MOD(I35-H35, 1)</f>
        <v>4.513888888888884E-2</v>
      </c>
      <c r="K35" s="178">
        <v>24</v>
      </c>
      <c r="L35" s="177" t="s">
        <v>125</v>
      </c>
      <c r="M35" s="178">
        <v>3</v>
      </c>
      <c r="N35" s="179">
        <v>1</v>
      </c>
      <c r="O35" s="225"/>
      <c r="P35" s="172"/>
      <c r="Q35" s="172"/>
      <c r="R35" s="172"/>
      <c r="S35" s="175">
        <f t="shared" si="11"/>
        <v>0</v>
      </c>
      <c r="U35" s="187">
        <f>+IFERROR(VLOOKUP(D35,Datos!$R$24:$T$40,3,FALSE), "0")*N35</f>
        <v>0.14662756598240467</v>
      </c>
      <c r="V35" s="183" t="str">
        <f t="shared" si="8"/>
        <v/>
      </c>
      <c r="W35" s="183" t="str">
        <f t="shared" si="10"/>
        <v/>
      </c>
      <c r="X35" s="183" t="str">
        <f t="shared" si="9"/>
        <v/>
      </c>
    </row>
    <row r="36" spans="2:24" ht="38" customHeight="1" x14ac:dyDescent="0.3">
      <c r="B36" s="172">
        <v>3700</v>
      </c>
      <c r="C36" s="173" t="str">
        <f>+C35</f>
        <v>Ciclo Minero 5,2 x 5,6 m
Galería Acceso Portal de Servicio</v>
      </c>
      <c r="D36" s="173" t="s">
        <v>62</v>
      </c>
      <c r="E36" s="172" t="s">
        <v>6</v>
      </c>
      <c r="F36" s="172" t="s">
        <v>170</v>
      </c>
      <c r="G36" s="172" t="s">
        <v>208</v>
      </c>
      <c r="H36" s="174">
        <v>0.68055555555555558</v>
      </c>
      <c r="I36" s="174">
        <v>0.70833333333333337</v>
      </c>
      <c r="J36" s="175">
        <f>MOD(I36-H36, 1)</f>
        <v>2.777777777777779E-2</v>
      </c>
      <c r="K36" s="178">
        <v>7</v>
      </c>
      <c r="L36" s="177" t="s">
        <v>127</v>
      </c>
      <c r="M36" s="178"/>
      <c r="N36" s="179">
        <v>1</v>
      </c>
      <c r="O36" s="186" t="s">
        <v>377</v>
      </c>
      <c r="P36" s="172"/>
      <c r="Q36" s="172"/>
      <c r="R36" s="172"/>
      <c r="S36" s="175">
        <f t="shared" si="11"/>
        <v>0</v>
      </c>
      <c r="U36" s="187"/>
      <c r="V36" s="183" t="str">
        <f t="shared" si="8"/>
        <v/>
      </c>
      <c r="W36" s="183" t="str">
        <f t="shared" si="10"/>
        <v/>
      </c>
      <c r="X36" s="183">
        <f t="shared" si="9"/>
        <v>7</v>
      </c>
    </row>
    <row r="37" spans="2:24" ht="38" customHeight="1" x14ac:dyDescent="0.3">
      <c r="B37" s="172">
        <v>3700</v>
      </c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11"/>
        <v>0</v>
      </c>
      <c r="U37" s="187"/>
      <c r="V37" s="183" t="str">
        <f t="shared" si="8"/>
        <v/>
      </c>
      <c r="W37" s="183" t="str">
        <f t="shared" si="10"/>
        <v/>
      </c>
      <c r="X37" s="183" t="str">
        <f t="shared" si="9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 t="s">
        <v>329</v>
      </c>
      <c r="J38" s="175">
        <f>MOD(I35-H30, 1)</f>
        <v>0.3611111111111111</v>
      </c>
      <c r="K38" s="178"/>
      <c r="L38" s="177"/>
      <c r="M38" s="178"/>
      <c r="N38" s="179"/>
      <c r="O38" s="186" t="s">
        <v>378</v>
      </c>
      <c r="P38" s="172"/>
      <c r="Q38" s="172"/>
      <c r="R38" s="172"/>
      <c r="S38" s="175">
        <f t="shared" si="11"/>
        <v>0</v>
      </c>
      <c r="U38" s="182">
        <f>SUM(U30:U37)+Datos!T27+Datos!T29+Datos!T31+Datos!T33</f>
        <v>0.64809384164222861</v>
      </c>
      <c r="V38" s="183" t="str">
        <f t="shared" si="8"/>
        <v/>
      </c>
      <c r="W38" s="183" t="str">
        <f t="shared" si="10"/>
        <v/>
      </c>
      <c r="X38" s="183" t="str">
        <f t="shared" si="9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SUMPRODUCT((LEFT(F21:F35, 1)="C") / (COUNTIF(F21:F35, F21:F35 &amp; "") + (F21:F35="")))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SUMPRODUCT((LEFT(F21:F35, 1)="O") / (COUNTIF(F21:F35, F21:F35 &amp; "") + (F21:F35="")))</f>
        <v>0</v>
      </c>
      <c r="E42" s="448" t="s">
        <v>198</v>
      </c>
      <c r="F42" s="448"/>
      <c r="G42" s="199">
        <f>SUM(J21:J26)</f>
        <v>0.66319444444444442</v>
      </c>
      <c r="H42" s="200">
        <f>+G42*24/($G$41*24)</f>
        <v>2.5466666666666664</v>
      </c>
      <c r="I42" s="199">
        <f>SUM(J30:J35)</f>
        <v>0.3263888888888889</v>
      </c>
      <c r="J42" s="200">
        <f>+I42*24/($I$41*24)</f>
        <v>1.2533333333333334</v>
      </c>
      <c r="K42" s="201">
        <f>AVERAGE(G42+I42)/2</f>
        <v>0.49479166666666663</v>
      </c>
      <c r="L42" s="200">
        <f>+K42*24/($K$41*24)</f>
        <v>1.9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+AVERAGE(N21:N27)</f>
        <v>0.45</v>
      </c>
      <c r="I43" s="202"/>
      <c r="J43" s="203">
        <f>+AVERAGE(N30:N35)</f>
        <v>1</v>
      </c>
      <c r="K43" s="204"/>
      <c r="L43" s="203">
        <f>+AVERAGE(N21:N35)</f>
        <v>0.78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258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+U38</f>
        <v>0.64809384164222861</v>
      </c>
      <c r="I46" s="298">
        <f>+H46*$J$46*$K$46</f>
        <v>14.628774193548384</v>
      </c>
      <c r="J46" s="298">
        <v>6.6</v>
      </c>
      <c r="K46" s="246">
        <v>3.42</v>
      </c>
      <c r="L46" s="344">
        <v>56.080975609756102</v>
      </c>
      <c r="M46" s="344">
        <f>+L46*K46*H46</f>
        <v>124.30241344682067</v>
      </c>
    </row>
    <row r="47" spans="2:24" ht="14.4" customHeight="1" x14ac:dyDescent="0.35">
      <c r="E47" s="445" t="s">
        <v>224</v>
      </c>
      <c r="F47" s="445"/>
      <c r="G47" s="445"/>
      <c r="H47" s="209"/>
      <c r="I47" s="298">
        <f>+J47*K47</f>
        <v>0</v>
      </c>
      <c r="J47" s="298">
        <f>1892/1000000</f>
        <v>1.892E-3</v>
      </c>
      <c r="K47" s="246">
        <f>+((15*4.4)*2.72)*0</f>
        <v>0</v>
      </c>
      <c r="L47" s="346">
        <v>1.6919982016368774E-2</v>
      </c>
      <c r="M47" s="344">
        <f>+L47*K47</f>
        <v>0</v>
      </c>
    </row>
    <row r="48" spans="2:24" ht="14.4" customHeight="1" x14ac:dyDescent="0.35">
      <c r="E48" s="445" t="s">
        <v>359</v>
      </c>
      <c r="F48" s="445"/>
      <c r="G48" s="445"/>
      <c r="H48" s="209"/>
      <c r="I48" s="298">
        <f>+J48*K48</f>
        <v>0</v>
      </c>
      <c r="J48" s="298">
        <v>0.340368</v>
      </c>
      <c r="K48" s="246">
        <v>0</v>
      </c>
      <c r="L48" s="346">
        <v>2.2358937544867188</v>
      </c>
      <c r="M48" s="344">
        <f>+L48*K48</f>
        <v>0</v>
      </c>
    </row>
    <row r="49" spans="2:13" ht="14.4" customHeight="1" x14ac:dyDescent="0.35">
      <c r="E49" s="445" t="s">
        <v>376</v>
      </c>
      <c r="F49" s="445"/>
      <c r="G49" s="445"/>
      <c r="H49" s="209">
        <v>0</v>
      </c>
      <c r="I49" s="298">
        <f>+H49*$J$49*$K$49</f>
        <v>0</v>
      </c>
      <c r="J49" s="298">
        <f>23683234/1000000</f>
        <v>23.683233999999999</v>
      </c>
      <c r="K49" s="226">
        <v>0</v>
      </c>
      <c r="L49" s="346">
        <v>254.98967741935485</v>
      </c>
      <c r="M49" s="344">
        <f>+L49*K49*H49</f>
        <v>0</v>
      </c>
    </row>
    <row r="50" spans="2:13" ht="14.4" customHeight="1" x14ac:dyDescent="0.35">
      <c r="E50" s="445" t="s">
        <v>236</v>
      </c>
      <c r="F50" s="445"/>
      <c r="G50" s="445"/>
      <c r="H50" s="209"/>
      <c r="I50" s="298">
        <f>+J50*K50</f>
        <v>3.5711200000000001</v>
      </c>
      <c r="J50" s="298">
        <f>25508/1000000</f>
        <v>2.5507999999999999E-2</v>
      </c>
      <c r="K50" s="246">
        <f>7/(0.05)</f>
        <v>140</v>
      </c>
      <c r="L50" s="347" t="s">
        <v>486</v>
      </c>
      <c r="M50" s="349"/>
    </row>
    <row r="51" spans="2:13" ht="14.4" customHeight="1" x14ac:dyDescent="0.35">
      <c r="E51" s="445" t="s">
        <v>298</v>
      </c>
      <c r="F51" s="445"/>
      <c r="G51" s="445"/>
      <c r="H51" s="209"/>
      <c r="I51" s="210">
        <f>SUM(I46:I50)</f>
        <v>18.199894193548385</v>
      </c>
      <c r="J51" s="214"/>
      <c r="K51" s="246"/>
      <c r="L51" s="344"/>
      <c r="M51" s="344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/>
    </row>
    <row r="53" spans="2:13" ht="14.4" customHeight="1" x14ac:dyDescent="0.35">
      <c r="E53" s="445" t="s">
        <v>175</v>
      </c>
      <c r="F53" s="445"/>
      <c r="G53" s="445"/>
      <c r="H53" s="209">
        <f>+U27</f>
        <v>0.15733029092983455</v>
      </c>
      <c r="I53" s="210">
        <f>+H53*$J$53*$K$53</f>
        <v>6.3492212207644032</v>
      </c>
      <c r="J53" s="211">
        <v>11.8</v>
      </c>
      <c r="K53" s="246">
        <v>3.42</v>
      </c>
      <c r="L53" s="344">
        <v>118.52055555555555</v>
      </c>
      <c r="M53" s="344">
        <f>+L53*K53*H53</f>
        <v>63.772307324586407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0.64842624000000004</v>
      </c>
      <c r="J54" s="296">
        <f>+J47</f>
        <v>1.892E-3</v>
      </c>
      <c r="K54" s="246">
        <f>+((15*2.8)*2.72)*K23</f>
        <v>342.72</v>
      </c>
      <c r="L54" s="346">
        <v>1.6919982016368774E-2</v>
      </c>
      <c r="M54" s="344">
        <f>+L54*K54</f>
        <v>5.7988162366499072</v>
      </c>
    </row>
    <row r="55" spans="2:13" ht="14.4" customHeight="1" x14ac:dyDescent="0.3">
      <c r="E55" s="445" t="s">
        <v>297</v>
      </c>
      <c r="F55" s="445"/>
      <c r="G55" s="445"/>
      <c r="H55" s="209"/>
      <c r="I55" s="210">
        <f>SUM(I53:I54)</f>
        <v>6.9976474607644032</v>
      </c>
      <c r="J55" s="214"/>
      <c r="K55" s="246"/>
      <c r="L55" s="351"/>
      <c r="M55" s="349"/>
    </row>
    <row r="56" spans="2:13" ht="14.4" customHeight="1" x14ac:dyDescent="0.35">
      <c r="E56" s="227"/>
      <c r="F56" s="227"/>
      <c r="G56" s="227"/>
      <c r="H56" s="209"/>
      <c r="I56" s="210"/>
      <c r="J56" s="214"/>
      <c r="K56" s="246"/>
      <c r="L56" s="347"/>
      <c r="M56" s="349"/>
    </row>
    <row r="57" spans="2:13" ht="14.4" customHeight="1" x14ac:dyDescent="0.3">
      <c r="L57" s="213"/>
      <c r="M57" s="352">
        <f>SUM(M46:M56)</f>
        <v>193.87353700805699</v>
      </c>
    </row>
    <row r="58" spans="2:13" ht="7.75" customHeight="1" thickBot="1" x14ac:dyDescent="0.35"/>
    <row r="59" spans="2:13" ht="30" customHeight="1" thickBot="1" x14ac:dyDescent="0.35">
      <c r="B59" s="191"/>
      <c r="C59" s="446" t="s">
        <v>88</v>
      </c>
      <c r="D59" s="446"/>
      <c r="E59" s="192"/>
      <c r="F59" s="192"/>
      <c r="G59" s="192"/>
      <c r="H59" s="192"/>
      <c r="I59" s="216"/>
      <c r="J59" s="193"/>
    </row>
    <row r="60" spans="2:13" ht="38" customHeight="1" x14ac:dyDescent="0.3">
      <c r="C60" s="217" t="s">
        <v>89</v>
      </c>
      <c r="D60" s="195">
        <f>SUMPRODUCT((LEFT(G21:G35, 5)="Jumbo") / (COUNTIF(G21:G35, G21:G35 &amp; "") + (G21:G35="")))</f>
        <v>2</v>
      </c>
      <c r="E60" s="447" t="s">
        <v>90</v>
      </c>
      <c r="F60" s="447"/>
      <c r="G60" s="218">
        <v>0.20833333333333334</v>
      </c>
      <c r="I60" s="139"/>
      <c r="J60" s="190"/>
    </row>
    <row r="61" spans="2:13" ht="38" customHeight="1" x14ac:dyDescent="0.3">
      <c r="E61" s="447" t="s">
        <v>93</v>
      </c>
      <c r="F61" s="447"/>
      <c r="G61" s="195">
        <f>15000/(60)</f>
        <v>250</v>
      </c>
      <c r="H61" s="219" t="s">
        <v>143</v>
      </c>
      <c r="I61" s="139"/>
      <c r="J61" s="190"/>
    </row>
    <row r="62" spans="2:13" ht="38" customHeight="1" x14ac:dyDescent="0.3">
      <c r="E62" s="448" t="s">
        <v>91</v>
      </c>
      <c r="F62" s="448"/>
      <c r="G62" s="207">
        <f>+SUM(SUMIF($G$21:$G$35, "Jumbo*", $J$21:$J$35))/SUMPRODUCT((LEFT(G21:G35, 5)="Jumbo") / (COUNTIF(G21:G35, G21:G35 &amp; "") + (G21:G35="")))</f>
        <v>9.0277777777777735E-2</v>
      </c>
      <c r="H62" s="220">
        <f>+G62*24/($G$60*24)</f>
        <v>0.43333333333333313</v>
      </c>
      <c r="I62" s="190"/>
      <c r="J62" s="190"/>
    </row>
    <row r="63" spans="2:13" ht="38" customHeight="1" x14ac:dyDescent="0.3">
      <c r="E63" s="448" t="s">
        <v>92</v>
      </c>
      <c r="F63" s="448"/>
      <c r="G63" s="221">
        <f>+SUM(V21:V35)/D60</f>
        <v>0</v>
      </c>
      <c r="H63" s="220">
        <f>+G63/G61</f>
        <v>0</v>
      </c>
      <c r="I63" s="190"/>
      <c r="J63" s="190"/>
    </row>
    <row r="64" spans="2:13" ht="38" customHeight="1" x14ac:dyDescent="0.3">
      <c r="G64" s="222" t="s">
        <v>87</v>
      </c>
      <c r="H64" s="139" t="s">
        <v>23</v>
      </c>
    </row>
    <row r="65" spans="2:10" ht="20" customHeight="1" x14ac:dyDescent="0.3">
      <c r="F65" s="208" t="s">
        <v>65</v>
      </c>
      <c r="G65" s="221">
        <f t="shared" ref="G65:G70" si="12" xml:space="preserve"> SUMIF($G$21:$G$35, +F65,$V$21:$V$35)</f>
        <v>0</v>
      </c>
      <c r="H65" s="220">
        <f t="shared" ref="H65:H70" si="13">+G65/$G$61</f>
        <v>0</v>
      </c>
    </row>
    <row r="66" spans="2:10" ht="20" customHeight="1" x14ac:dyDescent="0.3">
      <c r="F66" s="208" t="s">
        <v>66</v>
      </c>
      <c r="G66" s="221">
        <f t="shared" si="12"/>
        <v>0</v>
      </c>
      <c r="H66" s="220">
        <f t="shared" si="13"/>
        <v>0</v>
      </c>
    </row>
    <row r="67" spans="2:10" ht="20" customHeight="1" x14ac:dyDescent="0.3">
      <c r="F67" s="208" t="s">
        <v>67</v>
      </c>
      <c r="G67" s="221">
        <f t="shared" si="12"/>
        <v>0</v>
      </c>
      <c r="H67" s="220">
        <f t="shared" si="13"/>
        <v>0</v>
      </c>
    </row>
    <row r="68" spans="2:10" ht="20" customHeight="1" x14ac:dyDescent="0.3">
      <c r="F68" s="208" t="s">
        <v>68</v>
      </c>
      <c r="G68" s="221">
        <f t="shared" si="12"/>
        <v>0</v>
      </c>
      <c r="H68" s="220">
        <f t="shared" si="13"/>
        <v>0</v>
      </c>
    </row>
    <row r="69" spans="2:10" ht="20" customHeight="1" x14ac:dyDescent="0.3">
      <c r="F69" s="208" t="s">
        <v>69</v>
      </c>
      <c r="G69" s="221">
        <f t="shared" si="12"/>
        <v>0</v>
      </c>
      <c r="H69" s="220">
        <f t="shared" si="13"/>
        <v>0</v>
      </c>
    </row>
    <row r="70" spans="2:10" ht="20" customHeight="1" x14ac:dyDescent="0.3">
      <c r="F70" s="208" t="s">
        <v>70</v>
      </c>
      <c r="G70" s="221">
        <f t="shared" si="12"/>
        <v>0</v>
      </c>
      <c r="H70" s="220">
        <f t="shared" si="13"/>
        <v>0</v>
      </c>
    </row>
    <row r="71" spans="2:10" ht="20" customHeight="1" x14ac:dyDescent="0.3">
      <c r="F71" s="208" t="s">
        <v>146</v>
      </c>
      <c r="G71" s="223">
        <f>+SUM(G65:G70)</f>
        <v>0</v>
      </c>
      <c r="H71" s="220">
        <f>+G71/($G$61*$D$60)</f>
        <v>0</v>
      </c>
    </row>
    <row r="72" spans="2:10" ht="13.5" thickBot="1" x14ac:dyDescent="0.35"/>
    <row r="73" spans="2:10" ht="30" customHeight="1" thickBot="1" x14ac:dyDescent="0.35">
      <c r="B73" s="191"/>
      <c r="C73" s="446" t="s">
        <v>107</v>
      </c>
      <c r="D73" s="446"/>
      <c r="E73" s="192"/>
      <c r="F73" s="192"/>
      <c r="G73" s="192"/>
      <c r="H73" s="192"/>
      <c r="I73" s="216"/>
      <c r="J73" s="193"/>
    </row>
    <row r="74" spans="2:10" ht="38" customHeight="1" x14ac:dyDescent="0.3">
      <c r="C74" s="208" t="s">
        <v>95</v>
      </c>
      <c r="D74" s="195">
        <f>SUMPRODUCT((LEFT(G21:G35, 5)="Scoop") / (COUNTIF(G21:G35, G21:G35 &amp; "") + (G21:G35="")))</f>
        <v>1</v>
      </c>
      <c r="E74" s="447" t="s">
        <v>90</v>
      </c>
      <c r="F74" s="447"/>
      <c r="G74" s="218">
        <v>0.20833333333333334</v>
      </c>
      <c r="I74" s="139"/>
      <c r="J74" s="190"/>
    </row>
    <row r="75" spans="2:10" ht="38" customHeight="1" x14ac:dyDescent="0.3">
      <c r="C75" s="208" t="s">
        <v>145</v>
      </c>
      <c r="D75" s="195">
        <v>4.9000000000000004</v>
      </c>
      <c r="E75" s="447" t="s">
        <v>97</v>
      </c>
      <c r="F75" s="447"/>
      <c r="G75" s="195">
        <f>15000/(60)</f>
        <v>250</v>
      </c>
      <c r="H75" s="219" t="s">
        <v>23</v>
      </c>
      <c r="I75" s="139"/>
      <c r="J75" s="190"/>
    </row>
    <row r="76" spans="2:10" ht="38" customHeight="1" x14ac:dyDescent="0.3">
      <c r="E76" s="448" t="s">
        <v>98</v>
      </c>
      <c r="F76" s="448"/>
      <c r="G76" s="207">
        <f>+SUM(SUMIF($G$21:$G$35, "Scoop*", $J$21:$J$35))/SUMPRODUCT((LEFT(G21:G35, 5)="Scoop") / (COUNTIF(G21:G35, G21:G35 &amp; "") + (G21:G35="")))</f>
        <v>0.44791666666666669</v>
      </c>
      <c r="H76" s="220">
        <f>+G76*24/($G$74*24)</f>
        <v>2.15</v>
      </c>
      <c r="I76" s="190"/>
      <c r="J76" s="190"/>
    </row>
    <row r="77" spans="2:10" ht="38" customHeight="1" x14ac:dyDescent="0.3">
      <c r="E77" s="448" t="s">
        <v>99</v>
      </c>
      <c r="F77" s="448"/>
      <c r="G77" s="221">
        <f>+SUM(W21:W35)*D75/D74</f>
        <v>294</v>
      </c>
      <c r="H77" s="220">
        <f>+G77/G75</f>
        <v>1.1759999999999999</v>
      </c>
      <c r="I77" s="190"/>
      <c r="J77" s="190"/>
    </row>
    <row r="78" spans="2:10" ht="38" customHeight="1" x14ac:dyDescent="0.3">
      <c r="G78" s="222" t="s">
        <v>96</v>
      </c>
      <c r="H78" s="139" t="s">
        <v>23</v>
      </c>
    </row>
    <row r="79" spans="2:10" ht="20" customHeight="1" x14ac:dyDescent="0.3">
      <c r="F79" s="208" t="s">
        <v>71</v>
      </c>
      <c r="G79" s="221">
        <f t="shared" ref="G79:G84" si="14" xml:space="preserve"> SUMIF($G$21:$G$35, +F79,$W$21:$W$35)*$D$75</f>
        <v>0</v>
      </c>
      <c r="H79" s="220">
        <f>+G79/$G$75</f>
        <v>0</v>
      </c>
    </row>
    <row r="80" spans="2:10" ht="20" customHeight="1" x14ac:dyDescent="0.3">
      <c r="F80" s="208" t="s">
        <v>72</v>
      </c>
      <c r="G80" s="221">
        <f t="shared" si="14"/>
        <v>0</v>
      </c>
      <c r="H80" s="220">
        <f t="shared" ref="H80:H85" si="15">+G80/$G$75</f>
        <v>0</v>
      </c>
    </row>
    <row r="81" spans="2:10" ht="20" customHeight="1" x14ac:dyDescent="0.3">
      <c r="F81" s="208" t="s">
        <v>73</v>
      </c>
      <c r="G81" s="221">
        <f t="shared" si="14"/>
        <v>0</v>
      </c>
      <c r="H81" s="220">
        <f t="shared" si="15"/>
        <v>0</v>
      </c>
    </row>
    <row r="82" spans="2:10" ht="20" customHeight="1" x14ac:dyDescent="0.3">
      <c r="F82" s="208" t="s">
        <v>74</v>
      </c>
      <c r="G82" s="221">
        <f t="shared" si="14"/>
        <v>0</v>
      </c>
      <c r="H82" s="220">
        <f t="shared" si="15"/>
        <v>0</v>
      </c>
    </row>
    <row r="83" spans="2:10" ht="20" customHeight="1" x14ac:dyDescent="0.3">
      <c r="F83" s="208" t="s">
        <v>75</v>
      </c>
      <c r="G83" s="221">
        <f t="shared" si="14"/>
        <v>0</v>
      </c>
      <c r="H83" s="220">
        <f t="shared" si="15"/>
        <v>0</v>
      </c>
    </row>
    <row r="84" spans="2:10" ht="20" customHeight="1" x14ac:dyDescent="0.3">
      <c r="F84" s="208" t="s">
        <v>76</v>
      </c>
      <c r="G84" s="221">
        <f t="shared" si="14"/>
        <v>0</v>
      </c>
      <c r="H84" s="220">
        <f t="shared" si="15"/>
        <v>0</v>
      </c>
    </row>
    <row r="85" spans="2:10" ht="20" customHeight="1" x14ac:dyDescent="0.3">
      <c r="F85" s="208" t="s">
        <v>146</v>
      </c>
      <c r="G85" s="223">
        <f>+SUM(G79:G84)</f>
        <v>0</v>
      </c>
      <c r="H85" s="220">
        <f t="shared" si="15"/>
        <v>0</v>
      </c>
    </row>
    <row r="86" spans="2:10" ht="13.5" thickBot="1" x14ac:dyDescent="0.35"/>
    <row r="87" spans="2:10" ht="30" customHeight="1" thickBot="1" x14ac:dyDescent="0.35">
      <c r="B87" s="191"/>
      <c r="C87" s="446" t="s">
        <v>149</v>
      </c>
      <c r="D87" s="446"/>
      <c r="E87" s="192"/>
      <c r="F87" s="192"/>
      <c r="G87" s="192"/>
      <c r="H87" s="192"/>
      <c r="I87" s="216"/>
      <c r="J87" s="193"/>
    </row>
    <row r="88" spans="2:10" ht="25.25" customHeight="1" x14ac:dyDescent="0.3">
      <c r="C88" s="208" t="s">
        <v>150</v>
      </c>
      <c r="D88" s="195">
        <f>SUMPRODUCT((LEFT(G21:G35, 8)="Roboshot") / (COUNTIF(G21:G35, G21:G35 &amp; "") + (G21:G35="")))</f>
        <v>0</v>
      </c>
      <c r="E88" s="447" t="s">
        <v>90</v>
      </c>
      <c r="F88" s="447"/>
      <c r="G88" s="218">
        <v>0.20833333333333334</v>
      </c>
    </row>
    <row r="89" spans="2:10" x14ac:dyDescent="0.3">
      <c r="C89" s="208"/>
      <c r="D89" s="195"/>
      <c r="E89" s="447" t="s">
        <v>97</v>
      </c>
      <c r="F89" s="447"/>
      <c r="G89" s="195">
        <v>12</v>
      </c>
      <c r="H89" s="219" t="s">
        <v>23</v>
      </c>
    </row>
    <row r="91" spans="2:10" x14ac:dyDescent="0.3">
      <c r="G91" s="222" t="s">
        <v>96</v>
      </c>
      <c r="H91" s="139" t="s">
        <v>23</v>
      </c>
    </row>
    <row r="92" spans="2:10" x14ac:dyDescent="0.3">
      <c r="F92" s="208" t="s">
        <v>77</v>
      </c>
      <c r="G92" s="221">
        <f xml:space="preserve"> SUMIF($G$21:$G$35, +F92,$X$21:$X$35)</f>
        <v>0</v>
      </c>
      <c r="H92" s="220">
        <f>+G92/$G$89</f>
        <v>0</v>
      </c>
    </row>
    <row r="93" spans="2:10" x14ac:dyDescent="0.3">
      <c r="F93" s="208" t="s">
        <v>78</v>
      </c>
      <c r="G93" s="221">
        <f xml:space="preserve"> SUMIF($G$21:$G$35, +F93,$X$21:$X$35)</f>
        <v>0</v>
      </c>
      <c r="H93" s="220">
        <f t="shared" ref="H93:H94" si="16">+G93/$G$89</f>
        <v>0</v>
      </c>
    </row>
    <row r="94" spans="2:10" x14ac:dyDescent="0.3">
      <c r="F94" s="208" t="s">
        <v>79</v>
      </c>
      <c r="G94" s="221">
        <f xml:space="preserve"> SUMIF($G$21:$G$35, +F94,$X$21:$X$35)</f>
        <v>0</v>
      </c>
      <c r="H94" s="220">
        <f t="shared" si="16"/>
        <v>0</v>
      </c>
    </row>
    <row r="95" spans="2:10" x14ac:dyDescent="0.3">
      <c r="F95" s="208" t="s">
        <v>146</v>
      </c>
      <c r="G95" s="223">
        <f>+SUM(G92:G94)</f>
        <v>0</v>
      </c>
      <c r="H95" s="220">
        <f>+G95/$G$89</f>
        <v>0</v>
      </c>
    </row>
  </sheetData>
  <mergeCells count="40">
    <mergeCell ref="E61:F61"/>
    <mergeCell ref="E62:F62"/>
    <mergeCell ref="E63:F63"/>
    <mergeCell ref="E89:F89"/>
    <mergeCell ref="E74:F74"/>
    <mergeCell ref="E75:F75"/>
    <mergeCell ref="E76:F76"/>
    <mergeCell ref="E77:F77"/>
    <mergeCell ref="E88:F88"/>
    <mergeCell ref="C87:D87"/>
    <mergeCell ref="E50:G50"/>
    <mergeCell ref="E41:F41"/>
    <mergeCell ref="E42:F42"/>
    <mergeCell ref="E43:F43"/>
    <mergeCell ref="E46:G46"/>
    <mergeCell ref="E47:G47"/>
    <mergeCell ref="E48:G48"/>
    <mergeCell ref="E49:G49"/>
    <mergeCell ref="C73:D73"/>
    <mergeCell ref="E51:G51"/>
    <mergeCell ref="E53:G53"/>
    <mergeCell ref="E54:G54"/>
    <mergeCell ref="E55:G55"/>
    <mergeCell ref="C59:D59"/>
    <mergeCell ref="E60:F60"/>
    <mergeCell ref="C40:D40"/>
    <mergeCell ref="G40:H40"/>
    <mergeCell ref="I40:J40"/>
    <mergeCell ref="K40:L40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42:H43 J42:J43">
    <cfRule type="cellIs" dxfId="755" priority="13" operator="greaterThan">
      <formula>0.9</formula>
    </cfRule>
    <cfRule type="cellIs" dxfId="754" priority="14" operator="between">
      <formula>0.81</formula>
      <formula>0.89</formula>
    </cfRule>
    <cfRule type="cellIs" dxfId="753" priority="15" operator="lessThan">
      <formula>0.8</formula>
    </cfRule>
  </conditionalFormatting>
  <conditionalFormatting sqref="H62:H63">
    <cfRule type="cellIs" dxfId="752" priority="16" operator="greaterThan">
      <formula>0.9</formula>
    </cfRule>
    <cfRule type="cellIs" dxfId="751" priority="17" operator="between">
      <formula>0.81</formula>
      <formula>0.89</formula>
    </cfRule>
    <cfRule type="cellIs" dxfId="750" priority="18" operator="lessThan">
      <formula>0.8</formula>
    </cfRule>
  </conditionalFormatting>
  <conditionalFormatting sqref="H65:H71">
    <cfRule type="cellIs" dxfId="749" priority="19" operator="greaterThan">
      <formula>0.9</formula>
    </cfRule>
    <cfRule type="cellIs" dxfId="748" priority="20" operator="between">
      <formula>0.81</formula>
      <formula>0.89</formula>
    </cfRule>
    <cfRule type="cellIs" dxfId="747" priority="21" operator="lessThan">
      <formula>0.8</formula>
    </cfRule>
  </conditionalFormatting>
  <conditionalFormatting sqref="H76:H77">
    <cfRule type="cellIs" dxfId="746" priority="7" operator="greaterThan">
      <formula>0.9</formula>
    </cfRule>
    <cfRule type="cellIs" dxfId="745" priority="8" operator="between">
      <formula>0.81</formula>
      <formula>0.89</formula>
    </cfRule>
    <cfRule type="cellIs" dxfId="744" priority="9" operator="lessThan">
      <formula>0.8</formula>
    </cfRule>
  </conditionalFormatting>
  <conditionalFormatting sqref="H79:H85">
    <cfRule type="cellIs" dxfId="743" priority="10" operator="greaterThan">
      <formula>0.9</formula>
    </cfRule>
    <cfRule type="cellIs" dxfId="742" priority="11" operator="between">
      <formula>0.81</formula>
      <formula>0.89</formula>
    </cfRule>
    <cfRule type="cellIs" dxfId="741" priority="12" operator="lessThan">
      <formula>0.8</formula>
    </cfRule>
  </conditionalFormatting>
  <conditionalFormatting sqref="H92:H95">
    <cfRule type="cellIs" dxfId="740" priority="4" operator="greaterThan">
      <formula>0.9</formula>
    </cfRule>
    <cfRule type="cellIs" dxfId="739" priority="5" operator="between">
      <formula>0.81</formula>
      <formula>0.89</formula>
    </cfRule>
    <cfRule type="cellIs" dxfId="738" priority="6" operator="lessThan">
      <formula>0.8</formula>
    </cfRule>
  </conditionalFormatting>
  <conditionalFormatting sqref="L42:L43">
    <cfRule type="cellIs" dxfId="737" priority="1" operator="greaterThan">
      <formula>0.9</formula>
    </cfRule>
    <cfRule type="cellIs" dxfId="736" priority="2" operator="between">
      <formula>0.81</formula>
      <formula>0.89</formula>
    </cfRule>
    <cfRule type="cellIs" dxfId="735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ignoredErrors>
    <ignoredError sqref="I49" formula="1"/>
  </ignoredError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5C95DE7-DFDC-48B5-91EE-183FBAAC154E}">
          <x14:formula1>
            <xm:f>Datos!$B$3:$B$8</xm:f>
          </x14:formula1>
          <xm:sqref>E21:E27 E30:E38</xm:sqref>
        </x14:dataValidation>
        <x14:dataValidation type="list" allowBlank="1" showInputMessage="1" showErrorMessage="1" xr:uid="{FAB08DC1-E606-4048-831B-AA5EAB9B23B0}">
          <x14:formula1>
            <xm:f>Datos!$D$3:$D$27</xm:f>
          </x14:formula1>
          <xm:sqref>F21:F27 F30:F38</xm:sqref>
        </x14:dataValidation>
        <x14:dataValidation type="list" allowBlank="1" showInputMessage="1" showErrorMessage="1" xr:uid="{05DE9E96-3F2E-4A24-BF45-220221A58980}">
          <x14:formula1>
            <xm:f>Datos!$W$3:$W$12</xm:f>
          </x14:formula1>
          <xm:sqref>L30:L38 L21:L27</xm:sqref>
        </x14:dataValidation>
        <x14:dataValidation type="list" allowBlank="1" showInputMessage="1" showErrorMessage="1" xr:uid="{4E825736-3FD7-49C8-9FD3-67AD731F0350}">
          <x14:formula1>
            <xm:f>Datos!$F$3:$F$41</xm:f>
          </x14:formula1>
          <xm:sqref>G30:G38 G21:G27</xm:sqref>
        </x14:dataValidation>
        <x14:dataValidation type="list" allowBlank="1" showInputMessage="1" showErrorMessage="1" xr:uid="{2BC06292-68A5-43B9-95D8-9101492A653A}">
          <x14:formula1>
            <xm:f>Datos!$H$3:$H$26</xm:f>
          </x14:formula1>
          <xm:sqref>D27 D38</xm:sqref>
        </x14:dataValidation>
        <x14:dataValidation type="list" allowBlank="1" showInputMessage="1" showErrorMessage="1" xr:uid="{9BC325FA-3092-40F5-A6CF-3B6D652B7F64}">
          <x14:formula1>
            <xm:f>Datos!$H$3:$H$34</xm:f>
          </x14:formula1>
          <xm:sqref>D30:D37 D21:D26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50B8-C508-4BC1-A7AE-841474079FE5}">
  <sheetPr>
    <pageSetUpPr fitToPage="1"/>
  </sheetPr>
  <dimension ref="B1:X95"/>
  <sheetViews>
    <sheetView showGridLines="0" topLeftCell="A19" zoomScale="70" zoomScaleNormal="70" zoomScaleSheetLayoutView="50" workbookViewId="0">
      <pane xSplit="3" ySplit="2" topLeftCell="D36" activePane="bottomRight" state="frozen"/>
      <selection activeCell="M54" sqref="M54"/>
      <selection pane="topRight" activeCell="M54" sqref="M54"/>
      <selection pane="bottomLeft" activeCell="M54" sqref="M54"/>
      <selection pane="bottomRight" activeCell="M54" sqref="M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8.3632812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+G43</f>
        <v>0.64236111111111105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+H44</f>
        <v>0.8833333333333333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104</v>
      </c>
      <c r="E21" s="172" t="s">
        <v>6</v>
      </c>
      <c r="F21" s="172" t="s">
        <v>167</v>
      </c>
      <c r="G21" s="172" t="s">
        <v>205</v>
      </c>
      <c r="H21" s="174">
        <v>0.1875</v>
      </c>
      <c r="I21" s="174">
        <v>0.33333333333333331</v>
      </c>
      <c r="J21" s="175">
        <f t="shared" ref="J21:J24" si="0">MOD(I21-H21, 1)</f>
        <v>0.14583333333333331</v>
      </c>
      <c r="K21" s="178">
        <v>26</v>
      </c>
      <c r="L21" s="177" t="s">
        <v>128</v>
      </c>
      <c r="M21" s="178"/>
      <c r="N21" s="179">
        <v>0.3</v>
      </c>
      <c r="O21" s="186" t="s">
        <v>387</v>
      </c>
      <c r="P21" s="181" t="s">
        <v>389</v>
      </c>
      <c r="Q21" s="174">
        <v>0.9375</v>
      </c>
      <c r="R21" s="174">
        <v>0.95138888888888884</v>
      </c>
      <c r="S21" s="175">
        <f>+MOD(R21-Q21,1)</f>
        <v>1.388888888888884E-2</v>
      </c>
      <c r="U21" s="182">
        <f>+IFERROR(VLOOKUP(D21,Datos!$R$3:$T$19,3,FALSE), "0")*N21</f>
        <v>6.7427267541357666E-2</v>
      </c>
      <c r="V21" s="183" t="str">
        <f>IF(OR(D21="Perforación de Fortificación", D21="Perforación de Avance", D21="Perforación Desquinche"), K21*M21, "")</f>
        <v/>
      </c>
      <c r="W21" s="183">
        <f>IF(D21="Extracción de Marina Disparo",K21,"")</f>
        <v>26</v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56</v>
      </c>
      <c r="E22" s="172" t="s">
        <v>6</v>
      </c>
      <c r="F22" s="172" t="s">
        <v>167</v>
      </c>
      <c r="G22" s="172" t="s">
        <v>209</v>
      </c>
      <c r="H22" s="174">
        <v>3.125E-2</v>
      </c>
      <c r="I22" s="174">
        <v>0.14583333333333334</v>
      </c>
      <c r="J22" s="175">
        <f t="shared" si="0"/>
        <v>0.11458333333333334</v>
      </c>
      <c r="K22" s="178"/>
      <c r="L22" s="177"/>
      <c r="M22" s="178"/>
      <c r="N22" s="179">
        <v>1</v>
      </c>
      <c r="O22" s="225"/>
      <c r="P22" s="181" t="s">
        <v>390</v>
      </c>
      <c r="Q22" s="174">
        <v>6.9444444444444448E-2</v>
      </c>
      <c r="R22" s="174">
        <v>8.3333333333333329E-2</v>
      </c>
      <c r="S22" s="175">
        <f t="shared" ref="S22:S28" si="1">+MOD(R22-Q22,1)</f>
        <v>1.3888888888888881E-2</v>
      </c>
      <c r="U22" s="182">
        <f>+IFERROR(VLOOKUP(D22,Datos!$R$3:$T$19,3,FALSE), "0")*N22</f>
        <v>4.2783799201369072E-2</v>
      </c>
      <c r="V22" s="183" t="str">
        <f t="shared" ref="V22:V28" si="2">IF(OR(D22="Perforación de Fortificación", D22="Perforación de Avance", D22="Perforación Desquinche"), K22*M22, "")</f>
        <v/>
      </c>
      <c r="W22" s="183" t="str">
        <f t="shared" ref="W22:W28" si="3">IF(D22="Extracción de Marina Disparo",K22,"")</f>
        <v/>
      </c>
      <c r="X22" s="183" t="str">
        <f t="shared" ref="X22:X28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51</v>
      </c>
      <c r="E23" s="172" t="s">
        <v>6</v>
      </c>
      <c r="F23" s="172" t="s">
        <v>167</v>
      </c>
      <c r="G23" s="172" t="s">
        <v>212</v>
      </c>
      <c r="H23" s="174">
        <v>8.3333333333333329E-2</v>
      </c>
      <c r="I23" s="174">
        <v>0.15277777777777779</v>
      </c>
      <c r="J23" s="175">
        <f t="shared" si="0"/>
        <v>6.9444444444444461E-2</v>
      </c>
      <c r="K23" s="178"/>
      <c r="L23" s="177"/>
      <c r="M23" s="178"/>
      <c r="N23" s="179">
        <v>1</v>
      </c>
      <c r="O23" s="186"/>
      <c r="P23" s="181" t="s">
        <v>390</v>
      </c>
      <c r="Q23" s="174">
        <v>0.10416666666666667</v>
      </c>
      <c r="R23" s="174">
        <v>0.125</v>
      </c>
      <c r="S23" s="175">
        <f t="shared" si="1"/>
        <v>2.0833333333333329E-2</v>
      </c>
      <c r="U23" s="182">
        <f>+IFERROR(VLOOKUP(D23,Datos!$R$3:$T$19,3,FALSE), "0")*N23</f>
        <v>3.4227039361095259E-2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59</v>
      </c>
      <c r="E24" s="172" t="s">
        <v>6</v>
      </c>
      <c r="F24" s="172" t="s">
        <v>167</v>
      </c>
      <c r="G24" s="172" t="s">
        <v>205</v>
      </c>
      <c r="H24" s="174">
        <v>0.15277777777777779</v>
      </c>
      <c r="I24" s="174">
        <v>0.1736111111111111</v>
      </c>
      <c r="J24" s="175">
        <f t="shared" si="0"/>
        <v>2.0833333333333315E-2</v>
      </c>
      <c r="K24" s="178"/>
      <c r="L24" s="177"/>
      <c r="M24" s="178"/>
      <c r="N24" s="179">
        <v>1</v>
      </c>
      <c r="O24" s="186"/>
      <c r="P24" s="181"/>
      <c r="Q24" s="174"/>
      <c r="R24" s="174"/>
      <c r="S24" s="175"/>
      <c r="U24" s="182">
        <f>+IFERROR(VLOOKUP(D24,Datos!$R$3:$T$19,3,FALSE), "0")*N24</f>
        <v>5.7045065601825425E-3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173</v>
      </c>
      <c r="E25" s="172" t="s">
        <v>6</v>
      </c>
      <c r="F25" s="172" t="s">
        <v>167</v>
      </c>
      <c r="G25" s="172"/>
      <c r="H25" s="174">
        <v>0.1875</v>
      </c>
      <c r="I25" s="174">
        <v>0.25</v>
      </c>
      <c r="J25" s="175">
        <f>MOD(I25-H25, 1)</f>
        <v>6.25E-2</v>
      </c>
      <c r="K25" s="178"/>
      <c r="L25" s="177"/>
      <c r="M25" s="178"/>
      <c r="N25" s="179">
        <v>1</v>
      </c>
      <c r="O25" s="225"/>
      <c r="P25" s="181"/>
      <c r="Q25" s="172"/>
      <c r="R25" s="172"/>
      <c r="S25" s="175">
        <f>+MOD(R25-Q25,1)</f>
        <v>0</v>
      </c>
      <c r="U25" s="182">
        <f>+IFERROR(VLOOKUP(D25,Datos!$R$3:$T$19,3,FALSE), "0")*N25</f>
        <v>3.4227039361095259E-2</v>
      </c>
      <c r="V25" s="183" t="str">
        <f>IF(OR(D25="Perforación de Fortificación", D25="Perforación de Avance", D25="Perforación Desquinche"), K25*M25, "")</f>
        <v/>
      </c>
      <c r="W25" s="183" t="str">
        <f>IF(D25="Extracción de Marina Disparo",K25,"")</f>
        <v/>
      </c>
      <c r="X25" s="183" t="str">
        <f>IF(OR(D25="Shotcrete", D25="Pre Shotcrete"), K25, "")</f>
        <v/>
      </c>
    </row>
    <row r="26" spans="2:24" ht="38" customHeight="1" x14ac:dyDescent="0.3">
      <c r="B26" s="172">
        <v>3500</v>
      </c>
      <c r="C26" s="173" t="str">
        <f>+Datos!$R$2</f>
        <v>Ciclo Minero 10,0 x 7,2 m
Galería Inyección Principal</v>
      </c>
      <c r="D26" s="173" t="s">
        <v>60</v>
      </c>
      <c r="E26" s="172" t="s">
        <v>6</v>
      </c>
      <c r="F26" s="172" t="s">
        <v>167</v>
      </c>
      <c r="G26" s="172" t="s">
        <v>203</v>
      </c>
      <c r="H26" s="174">
        <v>0.25</v>
      </c>
      <c r="I26" s="174">
        <v>0.33333333333333331</v>
      </c>
      <c r="J26" s="175">
        <f>MOD(I26-H26, 1)</f>
        <v>8.3333333333333315E-2</v>
      </c>
      <c r="K26" s="178">
        <v>55</v>
      </c>
      <c r="L26" s="177" t="s">
        <v>138</v>
      </c>
      <c r="M26" s="178">
        <v>4</v>
      </c>
      <c r="N26" s="179">
        <v>1</v>
      </c>
      <c r="O26" s="186"/>
      <c r="P26" s="181"/>
      <c r="Q26" s="174"/>
      <c r="R26" s="174"/>
      <c r="S26" s="175"/>
      <c r="U26" s="182">
        <f>+IFERROR(VLOOKUP(D26,Datos!$R$3:$T$19,3,FALSE), "0")*N26</f>
        <v>1.1409013120365085E-2</v>
      </c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ht="37.75" customHeight="1" x14ac:dyDescent="0.3">
      <c r="B27" s="172">
        <v>3500</v>
      </c>
      <c r="C27" s="173" t="str">
        <f>+Datos!$R$2</f>
        <v>Ciclo Minero 10,0 x 7,2 m
Galería Inyección Principal</v>
      </c>
      <c r="D27" s="173" t="s">
        <v>105</v>
      </c>
      <c r="E27" s="172" t="s">
        <v>6</v>
      </c>
      <c r="F27" s="172" t="s">
        <v>167</v>
      </c>
      <c r="G27" s="172" t="s">
        <v>205</v>
      </c>
      <c r="H27" s="174">
        <v>0.1875</v>
      </c>
      <c r="I27" s="174">
        <v>0.33333333333333331</v>
      </c>
      <c r="J27" s="175">
        <f>MOD(I27-H27, 1)</f>
        <v>0.14583333333333331</v>
      </c>
      <c r="K27" s="178">
        <v>41</v>
      </c>
      <c r="L27" s="177" t="s">
        <v>128</v>
      </c>
      <c r="M27" s="178"/>
      <c r="N27" s="179"/>
      <c r="O27" s="186" t="s">
        <v>388</v>
      </c>
      <c r="P27" s="181"/>
      <c r="Q27" s="174"/>
      <c r="R27" s="174"/>
      <c r="S27" s="175"/>
      <c r="U27" s="182">
        <f>+IFERROR(VLOOKUP(D27,Datos!$R$3:$T$19,3,FALSE), "0")*N27</f>
        <v>0</v>
      </c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 t="s">
        <v>329</v>
      </c>
      <c r="J28" s="175">
        <f>MOD(I26-H22,1)</f>
        <v>0.30208333333333331</v>
      </c>
      <c r="K28" s="178"/>
      <c r="L28" s="177"/>
      <c r="M28" s="178"/>
      <c r="N28" s="179"/>
      <c r="O28" s="186" t="s">
        <v>391</v>
      </c>
      <c r="P28" s="172"/>
      <c r="Q28" s="172"/>
      <c r="R28" s="172"/>
      <c r="S28" s="175">
        <f t="shared" si="1"/>
        <v>0</v>
      </c>
      <c r="U28" s="182">
        <f>SUM(U21:U27)+Datos!T6</f>
        <v>0.2300057045065601</v>
      </c>
      <c r="V28" s="183" t="str">
        <f t="shared" si="2"/>
        <v/>
      </c>
      <c r="W28" s="183" t="str">
        <f t="shared" si="3"/>
        <v/>
      </c>
      <c r="X28" s="183" t="str">
        <f t="shared" si="4"/>
        <v/>
      </c>
    </row>
    <row r="29" spans="2:24" x14ac:dyDescent="0.3">
      <c r="B29" s="185" t="s">
        <v>158</v>
      </c>
      <c r="C29" s="63" t="s">
        <v>194</v>
      </c>
      <c r="D29" s="63"/>
      <c r="E29" s="63"/>
      <c r="F29" s="63"/>
      <c r="G29" s="63"/>
      <c r="H29" s="63"/>
      <c r="I29" s="63"/>
      <c r="J29" s="64"/>
      <c r="K29" s="64"/>
      <c r="L29" s="171"/>
      <c r="M29" s="63"/>
      <c r="N29" s="64"/>
      <c r="O29" s="64"/>
      <c r="P29" s="63"/>
      <c r="Q29" s="63"/>
      <c r="R29" s="63"/>
      <c r="S29" s="64"/>
      <c r="U29" s="63"/>
      <c r="V29" s="64"/>
      <c r="W29" s="64"/>
      <c r="X29" s="64"/>
    </row>
    <row r="30" spans="2:24" ht="52" x14ac:dyDescent="0.3">
      <c r="B30" s="63" t="s">
        <v>3</v>
      </c>
      <c r="C30" s="63" t="s">
        <v>2</v>
      </c>
      <c r="D30" s="63" t="s">
        <v>5</v>
      </c>
      <c r="E30" s="63" t="s">
        <v>22</v>
      </c>
      <c r="F30" s="63" t="s">
        <v>139</v>
      </c>
      <c r="G30" s="63" t="s">
        <v>29</v>
      </c>
      <c r="H30" s="63" t="s">
        <v>121</v>
      </c>
      <c r="I30" s="63" t="s">
        <v>4</v>
      </c>
      <c r="J30" s="64" t="s">
        <v>122</v>
      </c>
      <c r="K30" s="64" t="s">
        <v>131</v>
      </c>
      <c r="L30" s="171" t="s">
        <v>123</v>
      </c>
      <c r="M30" s="63" t="s">
        <v>134</v>
      </c>
      <c r="N30" s="64" t="s">
        <v>24</v>
      </c>
      <c r="O30" s="64" t="s">
        <v>130</v>
      </c>
      <c r="P30" s="63" t="s">
        <v>132</v>
      </c>
      <c r="Q30" s="63" t="s">
        <v>121</v>
      </c>
      <c r="R30" s="63" t="s">
        <v>4</v>
      </c>
      <c r="S30" s="64" t="s">
        <v>137</v>
      </c>
      <c r="U30" s="63" t="s">
        <v>109</v>
      </c>
      <c r="V30" s="64" t="s">
        <v>87</v>
      </c>
      <c r="W30" s="64" t="s">
        <v>128</v>
      </c>
      <c r="X30" s="64" t="s">
        <v>128</v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 t="s">
        <v>59</v>
      </c>
      <c r="E31" s="172" t="s">
        <v>6</v>
      </c>
      <c r="F31" s="172" t="s">
        <v>168</v>
      </c>
      <c r="G31" s="172" t="s">
        <v>213</v>
      </c>
      <c r="H31" s="174">
        <v>0.89583333333333337</v>
      </c>
      <c r="I31" s="174">
        <v>0.9375</v>
      </c>
      <c r="J31" s="175">
        <f t="shared" ref="J31:J35" si="5">MOD(I31-H31, 1)</f>
        <v>4.166666666666663E-2</v>
      </c>
      <c r="K31" s="178"/>
      <c r="L31" s="177"/>
      <c r="M31" s="178"/>
      <c r="N31" s="179">
        <v>2</v>
      </c>
      <c r="O31" s="225" t="s">
        <v>392</v>
      </c>
      <c r="P31" s="225"/>
      <c r="Q31" s="174"/>
      <c r="R31" s="174"/>
      <c r="S31" s="175">
        <f t="shared" ref="S31:S33" si="6">MOD(R31-Q31, 1)</f>
        <v>0</v>
      </c>
      <c r="U31" s="187">
        <f>+IFERROR(VLOOKUP(D31,Datos!$R$24:$T$40,3,FALSE), "0")*N31</f>
        <v>1.9550342130987289E-2</v>
      </c>
      <c r="V31" s="183" t="str">
        <f t="shared" ref="V31:V39" si="7">IF(OR(D31="Perforación de Fortificación", D31="Perforación de Avance", D31="Perforación Desquinche"), K31*M31, "")</f>
        <v/>
      </c>
      <c r="W31" s="183" t="str">
        <f>IF(D31="Extracción de Marina Disparo",K31,"")</f>
        <v/>
      </c>
      <c r="X31" s="183" t="str">
        <f t="shared" ref="X31:X39" si="8">IF(OR(D31="Shotcrete", D31="Pre Shotcrete"), K31, "")</f>
        <v/>
      </c>
    </row>
    <row r="32" spans="2:24" ht="38" customHeight="1" x14ac:dyDescent="0.3">
      <c r="B32" s="172">
        <v>3700</v>
      </c>
      <c r="C32" s="173" t="str">
        <f>+Datos!$R$23</f>
        <v>Ciclo Minero 5,2 x 5,6 m
Galería Acceso Portal de Servicio</v>
      </c>
      <c r="D32" s="173" t="s">
        <v>52</v>
      </c>
      <c r="E32" s="172" t="s">
        <v>6</v>
      </c>
      <c r="F32" s="172" t="s">
        <v>168</v>
      </c>
      <c r="G32" s="172" t="s">
        <v>211</v>
      </c>
      <c r="H32" s="174">
        <v>0.9375</v>
      </c>
      <c r="I32" s="174">
        <v>0</v>
      </c>
      <c r="J32" s="175">
        <f t="shared" si="5"/>
        <v>6.25E-2</v>
      </c>
      <c r="K32" s="178">
        <v>80</v>
      </c>
      <c r="L32" s="177" t="s">
        <v>126</v>
      </c>
      <c r="M32" s="178"/>
      <c r="N32" s="179">
        <v>1</v>
      </c>
      <c r="O32" s="225"/>
      <c r="P32" s="173"/>
      <c r="Q32" s="174"/>
      <c r="R32" s="174"/>
      <c r="S32" s="175">
        <f t="shared" si="6"/>
        <v>0</v>
      </c>
      <c r="U32" s="187">
        <f>+IFERROR(VLOOKUP(D32,Datos!$R$24:$T$40,3,FALSE), "0")*N32</f>
        <v>7.3313782991202336E-2</v>
      </c>
      <c r="V32" s="183" t="str">
        <f t="shared" si="7"/>
        <v/>
      </c>
      <c r="W32" s="183" t="str">
        <f>IF(D32="Extracción de Marina Disparo",K32,"")</f>
        <v/>
      </c>
      <c r="X32" s="183" t="str">
        <f t="shared" si="8"/>
        <v/>
      </c>
    </row>
    <row r="33" spans="2:24" ht="53.4" customHeight="1" x14ac:dyDescent="0.3">
      <c r="B33" s="172">
        <v>3700</v>
      </c>
      <c r="C33" s="173" t="str">
        <f>+C31</f>
        <v>Ciclo Minero 5,2 x 5,6 m
Galería Acceso Portal de Servicio</v>
      </c>
      <c r="D33" s="173" t="s">
        <v>101</v>
      </c>
      <c r="E33" s="172" t="s">
        <v>6</v>
      </c>
      <c r="F33" s="172" t="s">
        <v>168</v>
      </c>
      <c r="G33" s="172"/>
      <c r="H33" s="174">
        <v>0</v>
      </c>
      <c r="I33" s="174">
        <v>4.1666666666666664E-2</v>
      </c>
      <c r="J33" s="175">
        <f t="shared" si="5"/>
        <v>4.1666666666666664E-2</v>
      </c>
      <c r="K33" s="178"/>
      <c r="L33" s="177"/>
      <c r="M33" s="178"/>
      <c r="N33" s="179">
        <v>1</v>
      </c>
      <c r="O33" s="225"/>
      <c r="P33" s="181"/>
      <c r="Q33" s="174"/>
      <c r="R33" s="174"/>
      <c r="S33" s="175">
        <f t="shared" si="6"/>
        <v>0</v>
      </c>
      <c r="U33" s="187">
        <f>+IFERROR(VLOOKUP(D33,Datos!$R$24:$T$40,3,FALSE), "0")*N33</f>
        <v>9.7751710654936444E-3</v>
      </c>
      <c r="V33" s="183" t="str">
        <f t="shared" si="7"/>
        <v/>
      </c>
      <c r="W33" s="183" t="str">
        <f t="shared" ref="W33:W39" si="9">IF(D33="Extracción de Marina Disparo",K33,"")</f>
        <v/>
      </c>
      <c r="X33" s="183" t="str">
        <f t="shared" si="8"/>
        <v/>
      </c>
    </row>
    <row r="34" spans="2:24" ht="38" customHeight="1" x14ac:dyDescent="0.3">
      <c r="B34" s="172">
        <v>3700</v>
      </c>
      <c r="C34" s="173" t="str">
        <f>+C33</f>
        <v>Ciclo Minero 5,2 x 5,6 m
Galería Acceso Portal de Servicio</v>
      </c>
      <c r="D34" s="173" t="s">
        <v>63</v>
      </c>
      <c r="E34" s="172" t="s">
        <v>6</v>
      </c>
      <c r="F34" s="172" t="s">
        <v>168</v>
      </c>
      <c r="G34" s="172" t="s">
        <v>202</v>
      </c>
      <c r="H34" s="174">
        <v>4.1666666666666664E-2</v>
      </c>
      <c r="I34" s="174">
        <v>0.29166666666666669</v>
      </c>
      <c r="J34" s="175">
        <f t="shared" si="5"/>
        <v>0.25</v>
      </c>
      <c r="K34" s="178">
        <v>94</v>
      </c>
      <c r="L34" s="177" t="s">
        <v>138</v>
      </c>
      <c r="M34" s="178">
        <v>3.8</v>
      </c>
      <c r="N34" s="179">
        <v>1</v>
      </c>
      <c r="O34" s="186" t="s">
        <v>393</v>
      </c>
      <c r="P34" s="172"/>
      <c r="Q34" s="172"/>
      <c r="R34" s="172"/>
      <c r="S34" s="175">
        <f t="shared" ref="S34:S39" si="10">+MOD(R34-Q34,1)</f>
        <v>0</v>
      </c>
      <c r="U34" s="187">
        <f>+IFERROR(VLOOKUP(D34,Datos!$R$24:$T$40,3,FALSE), "0")*N34</f>
        <v>0.12609970674486803</v>
      </c>
      <c r="V34" s="183">
        <f t="shared" si="7"/>
        <v>357.2</v>
      </c>
      <c r="W34" s="183" t="str">
        <f t="shared" si="9"/>
        <v/>
      </c>
      <c r="X34" s="183"/>
    </row>
    <row r="35" spans="2:24" ht="38" customHeight="1" x14ac:dyDescent="0.3">
      <c r="B35" s="172">
        <v>3700</v>
      </c>
      <c r="C35" s="173" t="s">
        <v>394</v>
      </c>
      <c r="D35" s="173" t="s">
        <v>54</v>
      </c>
      <c r="E35" s="172" t="s">
        <v>6</v>
      </c>
      <c r="F35" s="172" t="s">
        <v>168</v>
      </c>
      <c r="G35" s="172" t="s">
        <v>211</v>
      </c>
      <c r="H35" s="174">
        <v>8.3333333333333329E-2</v>
      </c>
      <c r="I35" s="174">
        <v>0.14583333333333334</v>
      </c>
      <c r="J35" s="175">
        <f t="shared" si="5"/>
        <v>6.2500000000000014E-2</v>
      </c>
      <c r="K35" s="178">
        <v>21</v>
      </c>
      <c r="L35" s="177" t="s">
        <v>138</v>
      </c>
      <c r="M35" s="178">
        <v>3</v>
      </c>
      <c r="N35" s="179">
        <v>1</v>
      </c>
      <c r="O35" s="186" t="s">
        <v>395</v>
      </c>
      <c r="P35" s="181"/>
      <c r="Q35" s="174"/>
      <c r="R35" s="174"/>
      <c r="S35" s="175">
        <f t="shared" si="10"/>
        <v>0</v>
      </c>
      <c r="U35" s="187">
        <f>+IFERROR(VLOOKUP(D35,Datos!$R$24:$T$40,3,FALSE), "0")*N35</f>
        <v>0.14662756598240467</v>
      </c>
      <c r="V35" s="183" t="str">
        <f t="shared" si="7"/>
        <v/>
      </c>
      <c r="W35" s="183" t="str">
        <f t="shared" si="9"/>
        <v/>
      </c>
      <c r="X35" s="183" t="str">
        <f t="shared" si="8"/>
        <v/>
      </c>
    </row>
    <row r="36" spans="2:24" ht="38" customHeight="1" x14ac:dyDescent="0.3">
      <c r="B36" s="172">
        <v>3700</v>
      </c>
      <c r="C36" s="173"/>
      <c r="D36" s="173"/>
      <c r="E36" s="172"/>
      <c r="F36" s="172"/>
      <c r="G36" s="172"/>
      <c r="H36" s="174"/>
      <c r="I36" s="174"/>
      <c r="J36" s="175"/>
      <c r="K36" s="178"/>
      <c r="L36" s="177"/>
      <c r="M36" s="178"/>
      <c r="N36" s="179"/>
      <c r="O36" s="225"/>
      <c r="P36" s="172"/>
      <c r="Q36" s="172"/>
      <c r="R36" s="172"/>
      <c r="S36" s="175">
        <f t="shared" si="10"/>
        <v>0</v>
      </c>
      <c r="U36" s="187">
        <f>+IFERROR(VLOOKUP(D36,Datos!$R$24:$T$40,3,FALSE), "0")*N36</f>
        <v>0</v>
      </c>
      <c r="V36" s="183" t="str">
        <f t="shared" si="7"/>
        <v/>
      </c>
      <c r="W36" s="183" t="str">
        <f t="shared" si="9"/>
        <v/>
      </c>
      <c r="X36" s="183" t="str">
        <f t="shared" si="8"/>
        <v/>
      </c>
    </row>
    <row r="37" spans="2:24" ht="38" customHeight="1" x14ac:dyDescent="0.3">
      <c r="B37" s="172">
        <v>3700</v>
      </c>
      <c r="C37" s="173"/>
      <c r="D37" s="173"/>
      <c r="E37" s="172"/>
      <c r="F37" s="172"/>
      <c r="G37" s="172"/>
      <c r="H37" s="174"/>
      <c r="I37" s="174"/>
      <c r="J37" s="175"/>
      <c r="K37" s="178"/>
      <c r="L37" s="177"/>
      <c r="M37" s="178"/>
      <c r="N37" s="179"/>
      <c r="O37" s="186"/>
      <c r="P37" s="172"/>
      <c r="Q37" s="172"/>
      <c r="R37" s="172"/>
      <c r="S37" s="175">
        <f t="shared" si="10"/>
        <v>0</v>
      </c>
      <c r="U37" s="187"/>
      <c r="V37" s="183" t="str">
        <f t="shared" si="7"/>
        <v/>
      </c>
      <c r="W37" s="183" t="str">
        <f t="shared" si="9"/>
        <v/>
      </c>
      <c r="X37" s="183" t="str">
        <f t="shared" si="8"/>
        <v/>
      </c>
    </row>
    <row r="38" spans="2:24" ht="38" customHeight="1" x14ac:dyDescent="0.3">
      <c r="B38" s="172">
        <v>3700</v>
      </c>
      <c r="C38" s="173"/>
      <c r="D38" s="173"/>
      <c r="E38" s="172"/>
      <c r="F38" s="172"/>
      <c r="G38" s="172"/>
      <c r="H38" s="174"/>
      <c r="I38" s="174"/>
      <c r="J38" s="175">
        <f>MOD(I38-H38, 1)</f>
        <v>0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10"/>
        <v>0</v>
      </c>
      <c r="U38" s="187"/>
      <c r="V38" s="183" t="str">
        <f t="shared" si="7"/>
        <v/>
      </c>
      <c r="W38" s="183" t="str">
        <f t="shared" si="9"/>
        <v/>
      </c>
      <c r="X38" s="183" t="str">
        <f t="shared" si="8"/>
        <v/>
      </c>
    </row>
    <row r="39" spans="2:24" ht="38" customHeight="1" x14ac:dyDescent="0.3">
      <c r="B39" s="172"/>
      <c r="C39" s="173"/>
      <c r="D39" s="173"/>
      <c r="E39" s="172"/>
      <c r="F39" s="172"/>
      <c r="G39" s="172"/>
      <c r="H39" s="174"/>
      <c r="I39" s="174" t="s">
        <v>329</v>
      </c>
      <c r="J39" s="175">
        <f>MOD(I36-H31, 1)</f>
        <v>0.10416666666666663</v>
      </c>
      <c r="K39" s="178"/>
      <c r="L39" s="177"/>
      <c r="M39" s="178"/>
      <c r="N39" s="179"/>
      <c r="O39" s="186" t="s">
        <v>367</v>
      </c>
      <c r="P39" s="172"/>
      <c r="Q39" s="172"/>
      <c r="R39" s="172"/>
      <c r="S39" s="175">
        <f t="shared" si="10"/>
        <v>0</v>
      </c>
      <c r="U39" s="182">
        <f>SUM(U31:U38)</f>
        <v>0.37536656891495601</v>
      </c>
      <c r="V39" s="183" t="str">
        <f t="shared" si="7"/>
        <v/>
      </c>
      <c r="W39" s="183" t="str">
        <f t="shared" si="9"/>
        <v/>
      </c>
      <c r="X39" s="183" t="str">
        <f t="shared" si="8"/>
        <v/>
      </c>
    </row>
    <row r="40" spans="2:24" ht="15.65" customHeight="1" thickBot="1" x14ac:dyDescent="0.35">
      <c r="B40" s="190"/>
      <c r="C40" s="190"/>
      <c r="D40" s="190"/>
      <c r="E40" s="190"/>
      <c r="F40" s="190"/>
      <c r="G40" s="190"/>
      <c r="H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</row>
    <row r="41" spans="2:24" ht="30" customHeight="1" thickBot="1" x14ac:dyDescent="0.35">
      <c r="B41" s="191"/>
      <c r="C41" s="446" t="s">
        <v>64</v>
      </c>
      <c r="D41" s="446"/>
      <c r="E41" s="192"/>
      <c r="F41" s="192"/>
      <c r="G41" s="431">
        <v>3500</v>
      </c>
      <c r="H41" s="432"/>
      <c r="I41" s="431">
        <v>3700</v>
      </c>
      <c r="J41" s="432"/>
      <c r="K41" s="433" t="s">
        <v>146</v>
      </c>
      <c r="L41" s="434"/>
      <c r="M41" s="190"/>
      <c r="N41" s="190"/>
      <c r="O41" s="190"/>
      <c r="P41" s="190"/>
      <c r="Q41" s="190"/>
      <c r="R41" s="190"/>
      <c r="S41" s="190"/>
    </row>
    <row r="42" spans="2:24" ht="30" customHeight="1" x14ac:dyDescent="0.3">
      <c r="C42" s="194" t="s">
        <v>48</v>
      </c>
      <c r="D42" s="195">
        <f>SUMPRODUCT((LEFT(F21:F36, 1)="C") / (COUNTIF(F21:F36, F21:F36 &amp; "") + (F21:F36="")))</f>
        <v>0</v>
      </c>
      <c r="E42" s="447" t="s">
        <v>90</v>
      </c>
      <c r="F42" s="447"/>
      <c r="G42" s="196">
        <v>0.26041666666666669</v>
      </c>
      <c r="H42" s="197" t="s">
        <v>23</v>
      </c>
      <c r="I42" s="196">
        <v>0.26041666666666669</v>
      </c>
      <c r="J42" s="197" t="s">
        <v>23</v>
      </c>
      <c r="K42" s="198">
        <f>+G42</f>
        <v>0.26041666666666669</v>
      </c>
      <c r="L42" s="197" t="s">
        <v>23</v>
      </c>
      <c r="M42" s="190"/>
      <c r="N42" s="190"/>
      <c r="O42" s="190"/>
      <c r="P42" s="190"/>
      <c r="Q42" s="190"/>
      <c r="R42" s="190"/>
      <c r="S42" s="190"/>
    </row>
    <row r="43" spans="2:24" x14ac:dyDescent="0.3">
      <c r="C43" s="194" t="s">
        <v>49</v>
      </c>
      <c r="D43" s="195">
        <f>SUMPRODUCT((LEFT(F21:F36, 1)="O") / (COUNTIF(F21:F36, F21:F36 &amp; "") + (F21:F36="")))</f>
        <v>0</v>
      </c>
      <c r="E43" s="448" t="s">
        <v>198</v>
      </c>
      <c r="F43" s="448"/>
      <c r="G43" s="199">
        <f>SUM(J21:J27)</f>
        <v>0.64236111111111105</v>
      </c>
      <c r="H43" s="200">
        <f>+G43*24/($G$42*24)</f>
        <v>2.4666666666666663</v>
      </c>
      <c r="I43" s="199">
        <f>SUM(J31:J36)</f>
        <v>0.45833333333333326</v>
      </c>
      <c r="J43" s="200">
        <f>+I43*24/($I$42*24)</f>
        <v>1.7599999999999998</v>
      </c>
      <c r="K43" s="201">
        <f>AVERAGE(G43+I43)/2</f>
        <v>0.5503472222222221</v>
      </c>
      <c r="L43" s="200">
        <f>+K43*24/($K$42*24)</f>
        <v>2.1133333333333328</v>
      </c>
      <c r="M43" s="190"/>
      <c r="N43" s="190"/>
      <c r="O43" s="190"/>
      <c r="P43" s="190"/>
      <c r="Q43" s="190"/>
      <c r="R43" s="190"/>
      <c r="S43" s="190"/>
    </row>
    <row r="44" spans="2:24" ht="43.25" customHeight="1" thickBot="1" x14ac:dyDescent="0.35">
      <c r="E44" s="448" t="s">
        <v>94</v>
      </c>
      <c r="F44" s="448"/>
      <c r="G44" s="202"/>
      <c r="H44" s="203">
        <f>+AVERAGE(N21:N28)</f>
        <v>0.8833333333333333</v>
      </c>
      <c r="I44" s="202"/>
      <c r="J44" s="203">
        <f>+AVERAGE(N31:N36)</f>
        <v>1.2</v>
      </c>
      <c r="K44" s="204"/>
      <c r="L44" s="203">
        <f>+AVERAGE(N21:N36)</f>
        <v>1.0272727272727273</v>
      </c>
    </row>
    <row r="45" spans="2:24" ht="43.25" customHeight="1" x14ac:dyDescent="0.3">
      <c r="E45" s="205"/>
      <c r="F45" s="205"/>
      <c r="G45" s="206"/>
      <c r="H45" s="206"/>
      <c r="I45" s="137"/>
      <c r="J45" s="137"/>
      <c r="K45" s="137"/>
      <c r="L45" s="137"/>
    </row>
    <row r="46" spans="2:24" ht="43.25" customHeight="1" x14ac:dyDescent="0.3">
      <c r="E46" s="194"/>
      <c r="F46" s="194"/>
      <c r="G46" s="207"/>
      <c r="H46" s="208" t="s">
        <v>24</v>
      </c>
      <c r="I46" s="208" t="s">
        <v>199</v>
      </c>
      <c r="J46" s="208" t="s">
        <v>201</v>
      </c>
      <c r="K46" s="208" t="s">
        <v>258</v>
      </c>
      <c r="L46" s="345" t="s">
        <v>484</v>
      </c>
      <c r="M46" s="345" t="s">
        <v>485</v>
      </c>
      <c r="N46" s="208"/>
    </row>
    <row r="47" spans="2:24" ht="14.5" x14ac:dyDescent="0.35">
      <c r="E47" s="445" t="s">
        <v>174</v>
      </c>
      <c r="F47" s="445"/>
      <c r="G47" s="445"/>
      <c r="H47" s="209">
        <f>+U39</f>
        <v>0.37536656891495601</v>
      </c>
      <c r="I47" s="210">
        <f>+H47*$J$47*$K$47</f>
        <v>8.4727741935483856</v>
      </c>
      <c r="J47" s="299">
        <v>6.6</v>
      </c>
      <c r="K47" s="246">
        <v>3.42</v>
      </c>
      <c r="L47" s="344">
        <v>56.080975609756102</v>
      </c>
      <c r="M47" s="344">
        <f>+L47*K47*H47</f>
        <v>71.994158014448189</v>
      </c>
    </row>
    <row r="48" spans="2:24" ht="14.4" customHeight="1" x14ac:dyDescent="0.35">
      <c r="E48" s="445" t="s">
        <v>224</v>
      </c>
      <c r="F48" s="445"/>
      <c r="G48" s="445"/>
      <c r="H48" s="209"/>
      <c r="I48" s="210">
        <f>+J48*K48</f>
        <v>0</v>
      </c>
      <c r="J48" s="299">
        <f>1892/1000000</f>
        <v>1.892E-3</v>
      </c>
      <c r="K48" s="246">
        <f>+((15*4.4)*2.72)*0</f>
        <v>0</v>
      </c>
      <c r="L48" s="346">
        <v>1.6919982016368774E-2</v>
      </c>
      <c r="M48" s="344">
        <f>+L48*K48</f>
        <v>0</v>
      </c>
    </row>
    <row r="49" spans="2:13" ht="14.4" customHeight="1" x14ac:dyDescent="0.35">
      <c r="E49" s="445" t="s">
        <v>359</v>
      </c>
      <c r="F49" s="445"/>
      <c r="G49" s="445"/>
      <c r="H49" s="209"/>
      <c r="I49" s="210">
        <f>+J49*K49</f>
        <v>0</v>
      </c>
      <c r="J49" s="299">
        <v>0.340368</v>
      </c>
      <c r="K49" s="246">
        <v>0</v>
      </c>
      <c r="L49" s="346">
        <v>2.2358937544867188</v>
      </c>
      <c r="M49" s="344">
        <f>+L49*K49</f>
        <v>0</v>
      </c>
    </row>
    <row r="50" spans="2:13" ht="14.4" customHeight="1" x14ac:dyDescent="0.35">
      <c r="E50" s="445" t="s">
        <v>376</v>
      </c>
      <c r="F50" s="445"/>
      <c r="G50" s="445"/>
      <c r="H50" s="209">
        <v>0</v>
      </c>
      <c r="I50" s="210">
        <f>+H50*$J$50*$K$50</f>
        <v>0</v>
      </c>
      <c r="J50" s="299">
        <f>23683234/1000000</f>
        <v>23.683233999999999</v>
      </c>
      <c r="K50" s="226">
        <v>0.54</v>
      </c>
      <c r="L50" s="346">
        <v>254.98967741935485</v>
      </c>
      <c r="M50" s="344">
        <f>+L50*K50*H50</f>
        <v>0</v>
      </c>
    </row>
    <row r="51" spans="2:13" ht="14.4" customHeight="1" x14ac:dyDescent="0.35">
      <c r="E51" s="445" t="s">
        <v>298</v>
      </c>
      <c r="F51" s="445"/>
      <c r="G51" s="445"/>
      <c r="H51" s="209"/>
      <c r="I51" s="210">
        <f>SUM(I47:I50)</f>
        <v>8.4727741935483856</v>
      </c>
      <c r="J51" s="214"/>
      <c r="K51" s="246"/>
      <c r="L51" s="347"/>
      <c r="M51" s="349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/>
    </row>
    <row r="53" spans="2:13" ht="14.4" customHeight="1" x14ac:dyDescent="0.35">
      <c r="E53" s="445" t="s">
        <v>175</v>
      </c>
      <c r="F53" s="445"/>
      <c r="G53" s="445"/>
      <c r="H53" s="209">
        <f>+U28</f>
        <v>0.2300057045065601</v>
      </c>
      <c r="I53" s="210">
        <f>+H53*$J$53*$K$53</f>
        <v>9.2821102110667404</v>
      </c>
      <c r="J53" s="299">
        <v>11.8</v>
      </c>
      <c r="K53" s="246">
        <v>3.42</v>
      </c>
      <c r="L53" s="344">
        <v>118.52055555555555</v>
      </c>
      <c r="M53" s="344">
        <f>+L53*K53*H53</f>
        <v>93.230581266400421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0</v>
      </c>
      <c r="J54" s="299">
        <f>+J48</f>
        <v>1.892E-3</v>
      </c>
      <c r="K54" s="246">
        <f>+((15*2.8)*2.72)*0</f>
        <v>0</v>
      </c>
      <c r="L54" s="346">
        <v>1.6919982016368774E-2</v>
      </c>
      <c r="M54" s="344">
        <f>+L54*K54</f>
        <v>0</v>
      </c>
    </row>
    <row r="55" spans="2:13" ht="14.4" customHeight="1" x14ac:dyDescent="0.35">
      <c r="E55" s="445" t="s">
        <v>297</v>
      </c>
      <c r="F55" s="445"/>
      <c r="G55" s="445"/>
      <c r="H55" s="209"/>
      <c r="I55" s="210">
        <f>SUM(I53:I54)</f>
        <v>9.2821102110667404</v>
      </c>
      <c r="J55" s="214"/>
      <c r="K55" s="246"/>
      <c r="L55" s="346"/>
      <c r="M55" s="344"/>
    </row>
    <row r="56" spans="2:13" ht="14.4" customHeight="1" x14ac:dyDescent="0.3">
      <c r="E56" s="227"/>
      <c r="F56" s="227"/>
      <c r="G56" s="227"/>
      <c r="H56" s="209"/>
      <c r="I56" s="210"/>
      <c r="J56" s="214"/>
      <c r="K56" s="246"/>
      <c r="L56" s="351"/>
      <c r="M56" s="349"/>
    </row>
    <row r="57" spans="2:13" ht="14.4" customHeight="1" x14ac:dyDescent="0.35">
      <c r="E57" s="445" t="s">
        <v>236</v>
      </c>
      <c r="F57" s="445"/>
      <c r="G57" s="445"/>
      <c r="H57" s="209"/>
      <c r="I57" s="210">
        <f>+J57*K57</f>
        <v>0</v>
      </c>
      <c r="J57" s="296">
        <f>25508/1000000</f>
        <v>2.5507999999999999E-2</v>
      </c>
      <c r="K57" s="246">
        <f>14.43*0</f>
        <v>0</v>
      </c>
      <c r="L57" s="347" t="s">
        <v>486</v>
      </c>
      <c r="M57" s="349"/>
    </row>
    <row r="58" spans="2:13" ht="13.5" thickBot="1" x14ac:dyDescent="0.35">
      <c r="M58" s="352">
        <f>SUM(M47:M57)</f>
        <v>165.22473928084861</v>
      </c>
    </row>
    <row r="59" spans="2:13" ht="30" customHeight="1" thickBot="1" x14ac:dyDescent="0.35">
      <c r="B59" s="191"/>
      <c r="C59" s="446" t="s">
        <v>88</v>
      </c>
      <c r="D59" s="446"/>
      <c r="E59" s="192"/>
      <c r="F59" s="192"/>
      <c r="G59" s="192"/>
      <c r="H59" s="192"/>
      <c r="I59" s="216"/>
      <c r="J59" s="193"/>
    </row>
    <row r="60" spans="2:13" ht="38" customHeight="1" x14ac:dyDescent="0.3">
      <c r="C60" s="217" t="s">
        <v>89</v>
      </c>
      <c r="D60" s="195">
        <f>SUMPRODUCT((LEFT(G21:G36, 5)="Jumbo") / (COUNTIF(G21:G36, G21:G36 &amp; "") + (G21:G36="")))</f>
        <v>2</v>
      </c>
      <c r="E60" s="447" t="s">
        <v>90</v>
      </c>
      <c r="F60" s="447"/>
      <c r="G60" s="218">
        <v>0.20833333333333334</v>
      </c>
      <c r="I60" s="139"/>
      <c r="J60" s="190"/>
    </row>
    <row r="61" spans="2:13" ht="38" customHeight="1" x14ac:dyDescent="0.3">
      <c r="E61" s="447" t="s">
        <v>93</v>
      </c>
      <c r="F61" s="447"/>
      <c r="G61" s="195">
        <f>15000/(60)</f>
        <v>250</v>
      </c>
      <c r="H61" s="219" t="s">
        <v>143</v>
      </c>
      <c r="I61" s="139"/>
      <c r="J61" s="190"/>
    </row>
    <row r="62" spans="2:13" ht="38" customHeight="1" x14ac:dyDescent="0.3">
      <c r="E62" s="448" t="s">
        <v>91</v>
      </c>
      <c r="F62" s="448"/>
      <c r="G62" s="207">
        <f>+SUM(SUMIF($G$21:$G$36, "Jumbo*", $J$21:$J$36))/SUMPRODUCT((LEFT(G21:G36, 5)="Jumbo") / (COUNTIF(G21:G36, G21:G36 &amp; "") + (G21:G36="")))</f>
        <v>0.16666666666666666</v>
      </c>
      <c r="H62" s="220">
        <f>+G62*24/($G$60*24)</f>
        <v>0.8</v>
      </c>
      <c r="I62" s="190"/>
      <c r="J62" s="190"/>
    </row>
    <row r="63" spans="2:13" ht="38" customHeight="1" x14ac:dyDescent="0.3">
      <c r="E63" s="448" t="s">
        <v>92</v>
      </c>
      <c r="F63" s="448"/>
      <c r="G63" s="221">
        <f>+SUM(V21:V36)/D60</f>
        <v>178.6</v>
      </c>
      <c r="H63" s="220">
        <f>+G63/G61</f>
        <v>0.71439999999999992</v>
      </c>
      <c r="I63" s="190"/>
      <c r="J63" s="190"/>
    </row>
    <row r="64" spans="2:13" ht="38" customHeight="1" x14ac:dyDescent="0.3">
      <c r="G64" s="222" t="s">
        <v>87</v>
      </c>
      <c r="H64" s="139" t="s">
        <v>23</v>
      </c>
    </row>
    <row r="65" spans="2:10" ht="20" customHeight="1" x14ac:dyDescent="0.3">
      <c r="F65" s="208" t="s">
        <v>65</v>
      </c>
      <c r="G65" s="221">
        <f t="shared" ref="G65:G70" si="11" xml:space="preserve"> SUMIF($G$21:$G$36, +F65,$V$21:$V$36)</f>
        <v>0</v>
      </c>
      <c r="H65" s="220">
        <f t="shared" ref="H65:H70" si="12">+G65/$G$61</f>
        <v>0</v>
      </c>
    </row>
    <row r="66" spans="2:10" ht="20" customHeight="1" x14ac:dyDescent="0.3">
      <c r="F66" s="208" t="s">
        <v>66</v>
      </c>
      <c r="G66" s="221">
        <f t="shared" si="11"/>
        <v>0</v>
      </c>
      <c r="H66" s="220">
        <f t="shared" si="12"/>
        <v>0</v>
      </c>
    </row>
    <row r="67" spans="2:10" ht="20" customHeight="1" x14ac:dyDescent="0.3">
      <c r="F67" s="208" t="s">
        <v>67</v>
      </c>
      <c r="G67" s="221">
        <f t="shared" si="11"/>
        <v>0</v>
      </c>
      <c r="H67" s="220">
        <f t="shared" si="12"/>
        <v>0</v>
      </c>
    </row>
    <row r="68" spans="2:10" ht="20" customHeight="1" x14ac:dyDescent="0.3">
      <c r="F68" s="208" t="s">
        <v>68</v>
      </c>
      <c r="G68" s="221">
        <f t="shared" si="11"/>
        <v>0</v>
      </c>
      <c r="H68" s="220">
        <f t="shared" si="12"/>
        <v>0</v>
      </c>
    </row>
    <row r="69" spans="2:10" ht="20" customHeight="1" x14ac:dyDescent="0.3">
      <c r="F69" s="208" t="s">
        <v>69</v>
      </c>
      <c r="G69" s="221">
        <f t="shared" si="11"/>
        <v>0</v>
      </c>
      <c r="H69" s="220">
        <f t="shared" si="12"/>
        <v>0</v>
      </c>
    </row>
    <row r="70" spans="2:10" ht="20" customHeight="1" x14ac:dyDescent="0.3">
      <c r="F70" s="208" t="s">
        <v>70</v>
      </c>
      <c r="G70" s="221">
        <f t="shared" si="11"/>
        <v>0</v>
      </c>
      <c r="H70" s="220">
        <f t="shared" si="12"/>
        <v>0</v>
      </c>
    </row>
    <row r="71" spans="2:10" ht="20" customHeight="1" x14ac:dyDescent="0.3">
      <c r="F71" s="208" t="s">
        <v>146</v>
      </c>
      <c r="G71" s="223">
        <f>+SUM(G65:G70)</f>
        <v>0</v>
      </c>
      <c r="H71" s="220">
        <f>+G71/($G$61*$D$60)</f>
        <v>0</v>
      </c>
    </row>
    <row r="72" spans="2:10" ht="13.5" thickBot="1" x14ac:dyDescent="0.35"/>
    <row r="73" spans="2:10" ht="30" customHeight="1" thickBot="1" x14ac:dyDescent="0.35">
      <c r="B73" s="191"/>
      <c r="C73" s="446" t="s">
        <v>107</v>
      </c>
      <c r="D73" s="446"/>
      <c r="E73" s="192"/>
      <c r="F73" s="192"/>
      <c r="G73" s="192"/>
      <c r="H73" s="192"/>
      <c r="I73" s="216"/>
      <c r="J73" s="193"/>
    </row>
    <row r="74" spans="2:10" ht="38" customHeight="1" x14ac:dyDescent="0.3">
      <c r="C74" s="208" t="s">
        <v>95</v>
      </c>
      <c r="D74" s="195">
        <f>SUMPRODUCT((LEFT(G21:G36, 5)="Scoop") / (COUNTIF(G21:G36, G21:G36 &amp; "") + (G21:G36="")))</f>
        <v>1</v>
      </c>
      <c r="E74" s="447" t="s">
        <v>90</v>
      </c>
      <c r="F74" s="447"/>
      <c r="G74" s="218">
        <v>0.20833333333333334</v>
      </c>
      <c r="I74" s="139"/>
      <c r="J74" s="190"/>
    </row>
    <row r="75" spans="2:10" ht="38" customHeight="1" x14ac:dyDescent="0.3">
      <c r="C75" s="208" t="s">
        <v>145</v>
      </c>
      <c r="D75" s="195">
        <v>4.9000000000000004</v>
      </c>
      <c r="E75" s="447" t="s">
        <v>97</v>
      </c>
      <c r="F75" s="447"/>
      <c r="G75" s="195">
        <f>15000/(60)</f>
        <v>250</v>
      </c>
      <c r="H75" s="219" t="s">
        <v>23</v>
      </c>
      <c r="I75" s="139"/>
      <c r="J75" s="190"/>
    </row>
    <row r="76" spans="2:10" ht="38" customHeight="1" x14ac:dyDescent="0.3">
      <c r="E76" s="448" t="s">
        <v>98</v>
      </c>
      <c r="F76" s="448"/>
      <c r="G76" s="207">
        <f>+SUM(SUMIF($G$21:$G$36, "Scoop*", $J$21:$J$36))/SUMPRODUCT((LEFT(G21:G36, 5)="Scoop") / (COUNTIF(G21:G36, G21:G36 &amp; "") + (G21:G36="")))</f>
        <v>0.31249999999999994</v>
      </c>
      <c r="H76" s="220">
        <f>+G76*24/($G$74*24)</f>
        <v>1.4999999999999996</v>
      </c>
      <c r="I76" s="190"/>
      <c r="J76" s="190"/>
    </row>
    <row r="77" spans="2:10" ht="38" customHeight="1" x14ac:dyDescent="0.3">
      <c r="E77" s="448" t="s">
        <v>99</v>
      </c>
      <c r="F77" s="448"/>
      <c r="G77" s="221">
        <f>+SUM(W21:W36)*D75/D74</f>
        <v>127.4</v>
      </c>
      <c r="H77" s="220">
        <f>+G77/G75</f>
        <v>0.50960000000000005</v>
      </c>
      <c r="I77" s="190"/>
      <c r="J77" s="190"/>
    </row>
    <row r="78" spans="2:10" ht="38" customHeight="1" x14ac:dyDescent="0.3">
      <c r="G78" s="222" t="s">
        <v>96</v>
      </c>
      <c r="H78" s="139" t="s">
        <v>23</v>
      </c>
    </row>
    <row r="79" spans="2:10" ht="20" customHeight="1" x14ac:dyDescent="0.3">
      <c r="F79" s="208" t="s">
        <v>71</v>
      </c>
      <c r="G79" s="221">
        <f t="shared" ref="G79:G84" si="13" xml:space="preserve"> SUMIF($G$21:$G$36, +F79,$W$21:$W$36)*$D$75</f>
        <v>0</v>
      </c>
      <c r="H79" s="220">
        <f>+G79/$G$75</f>
        <v>0</v>
      </c>
    </row>
    <row r="80" spans="2:10" ht="20" customHeight="1" x14ac:dyDescent="0.3">
      <c r="F80" s="208" t="s">
        <v>72</v>
      </c>
      <c r="G80" s="221">
        <f t="shared" si="13"/>
        <v>0</v>
      </c>
      <c r="H80" s="220">
        <f t="shared" ref="H80:H85" si="14">+G80/$G$75</f>
        <v>0</v>
      </c>
    </row>
    <row r="81" spans="2:10" ht="20" customHeight="1" x14ac:dyDescent="0.3">
      <c r="F81" s="208" t="s">
        <v>73</v>
      </c>
      <c r="G81" s="221">
        <f t="shared" si="13"/>
        <v>0</v>
      </c>
      <c r="H81" s="220">
        <f t="shared" si="14"/>
        <v>0</v>
      </c>
    </row>
    <row r="82" spans="2:10" ht="20" customHeight="1" x14ac:dyDescent="0.3">
      <c r="F82" s="208" t="s">
        <v>74</v>
      </c>
      <c r="G82" s="221">
        <f t="shared" si="13"/>
        <v>0</v>
      </c>
      <c r="H82" s="220">
        <f t="shared" si="14"/>
        <v>0</v>
      </c>
    </row>
    <row r="83" spans="2:10" ht="20" customHeight="1" x14ac:dyDescent="0.3">
      <c r="F83" s="208" t="s">
        <v>75</v>
      </c>
      <c r="G83" s="221">
        <f t="shared" si="13"/>
        <v>0</v>
      </c>
      <c r="H83" s="220">
        <f t="shared" si="14"/>
        <v>0</v>
      </c>
    </row>
    <row r="84" spans="2:10" ht="20" customHeight="1" x14ac:dyDescent="0.3">
      <c r="F84" s="208" t="s">
        <v>76</v>
      </c>
      <c r="G84" s="221">
        <f t="shared" si="13"/>
        <v>0</v>
      </c>
      <c r="H84" s="220">
        <f t="shared" si="14"/>
        <v>0</v>
      </c>
    </row>
    <row r="85" spans="2:10" ht="20" customHeight="1" x14ac:dyDescent="0.3">
      <c r="F85" s="208" t="s">
        <v>146</v>
      </c>
      <c r="G85" s="223">
        <f>+SUM(G79:G84)</f>
        <v>0</v>
      </c>
      <c r="H85" s="220">
        <f t="shared" si="14"/>
        <v>0</v>
      </c>
    </row>
    <row r="86" spans="2:10" ht="13.5" thickBot="1" x14ac:dyDescent="0.35"/>
    <row r="87" spans="2:10" ht="30" customHeight="1" thickBot="1" x14ac:dyDescent="0.35">
      <c r="B87" s="191"/>
      <c r="C87" s="446" t="s">
        <v>149</v>
      </c>
      <c r="D87" s="446"/>
      <c r="E87" s="192"/>
      <c r="F87" s="192"/>
      <c r="G87" s="192"/>
      <c r="H87" s="192"/>
      <c r="I87" s="216"/>
      <c r="J87" s="193"/>
    </row>
    <row r="88" spans="2:10" ht="25.25" customHeight="1" x14ac:dyDescent="0.3">
      <c r="C88" s="208" t="s">
        <v>150</v>
      </c>
      <c r="D88" s="195">
        <f>SUMPRODUCT((LEFT(G21:G36, 8)="Roboshot") / (COUNTIF(G21:G36, G21:G36 &amp; "") + (G21:G36="")))</f>
        <v>0</v>
      </c>
      <c r="E88" s="447" t="s">
        <v>90</v>
      </c>
      <c r="F88" s="447"/>
      <c r="G88" s="218">
        <v>0.20833333333333334</v>
      </c>
    </row>
    <row r="89" spans="2:10" x14ac:dyDescent="0.3">
      <c r="C89" s="208"/>
      <c r="D89" s="195"/>
      <c r="E89" s="447" t="s">
        <v>97</v>
      </c>
      <c r="F89" s="447"/>
      <c r="G89" s="195">
        <v>12</v>
      </c>
      <c r="H89" s="219" t="s">
        <v>23</v>
      </c>
    </row>
    <row r="91" spans="2:10" x14ac:dyDescent="0.3">
      <c r="G91" s="222" t="s">
        <v>96</v>
      </c>
      <c r="H91" s="139" t="s">
        <v>23</v>
      </c>
    </row>
    <row r="92" spans="2:10" x14ac:dyDescent="0.3">
      <c r="F92" s="208" t="s">
        <v>77</v>
      </c>
      <c r="G92" s="221">
        <f xml:space="preserve"> SUMIF($G$21:$G$36, +F92,$X$21:$X$36)</f>
        <v>0</v>
      </c>
      <c r="H92" s="220">
        <f>+G92/$G$89</f>
        <v>0</v>
      </c>
    </row>
    <row r="93" spans="2:10" x14ac:dyDescent="0.3">
      <c r="F93" s="208" t="s">
        <v>78</v>
      </c>
      <c r="G93" s="221">
        <f xml:space="preserve"> SUMIF($G$21:$G$36, +F93,$X$21:$X$36)</f>
        <v>0</v>
      </c>
      <c r="H93" s="220">
        <f t="shared" ref="H93:H94" si="15">+G93/$G$89</f>
        <v>0</v>
      </c>
    </row>
    <row r="94" spans="2:10" x14ac:dyDescent="0.3">
      <c r="F94" s="208" t="s">
        <v>79</v>
      </c>
      <c r="G94" s="221">
        <f xml:space="preserve"> SUMIF($G$21:$G$36, +F94,$X$21:$X$36)</f>
        <v>0</v>
      </c>
      <c r="H94" s="220">
        <f t="shared" si="15"/>
        <v>0</v>
      </c>
    </row>
    <row r="95" spans="2:10" x14ac:dyDescent="0.3">
      <c r="F95" s="208" t="s">
        <v>146</v>
      </c>
      <c r="G95" s="223">
        <f>+SUM(G92:G94)</f>
        <v>0</v>
      </c>
      <c r="H95" s="220">
        <f>+G95/$G$89</f>
        <v>0</v>
      </c>
    </row>
  </sheetData>
  <mergeCells count="40">
    <mergeCell ref="C41:D41"/>
    <mergeCell ref="G41:H41"/>
    <mergeCell ref="I41:J41"/>
    <mergeCell ref="K41:L41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  <mergeCell ref="E57:G57"/>
    <mergeCell ref="E42:F42"/>
    <mergeCell ref="E43:F43"/>
    <mergeCell ref="E44:F44"/>
    <mergeCell ref="E47:G47"/>
    <mergeCell ref="E48:G48"/>
    <mergeCell ref="E49:G49"/>
    <mergeCell ref="E50:G50"/>
    <mergeCell ref="E51:G51"/>
    <mergeCell ref="E53:G53"/>
    <mergeCell ref="E54:G54"/>
    <mergeCell ref="E55:G55"/>
    <mergeCell ref="C87:D87"/>
    <mergeCell ref="E88:F88"/>
    <mergeCell ref="C59:D59"/>
    <mergeCell ref="E60:F60"/>
    <mergeCell ref="E61:F61"/>
    <mergeCell ref="E62:F62"/>
    <mergeCell ref="E63:F63"/>
    <mergeCell ref="C73:D73"/>
    <mergeCell ref="E89:F89"/>
    <mergeCell ref="E74:F74"/>
    <mergeCell ref="E75:F75"/>
    <mergeCell ref="E76:F76"/>
    <mergeCell ref="E77:F77"/>
  </mergeCells>
  <conditionalFormatting sqref="H43:H44 J43:J44">
    <cfRule type="cellIs" dxfId="734" priority="13" operator="greaterThan">
      <formula>0.9</formula>
    </cfRule>
    <cfRule type="cellIs" dxfId="733" priority="14" operator="between">
      <formula>0.81</formula>
      <formula>0.89</formula>
    </cfRule>
    <cfRule type="cellIs" dxfId="732" priority="15" operator="lessThan">
      <formula>0.8</formula>
    </cfRule>
  </conditionalFormatting>
  <conditionalFormatting sqref="H62:H63">
    <cfRule type="cellIs" dxfId="731" priority="16" operator="greaterThan">
      <formula>0.9</formula>
    </cfRule>
    <cfRule type="cellIs" dxfId="730" priority="17" operator="between">
      <formula>0.81</formula>
      <formula>0.89</formula>
    </cfRule>
    <cfRule type="cellIs" dxfId="729" priority="18" operator="lessThan">
      <formula>0.8</formula>
    </cfRule>
  </conditionalFormatting>
  <conditionalFormatting sqref="H65:H71">
    <cfRule type="cellIs" dxfId="728" priority="19" operator="greaterThan">
      <formula>0.9</formula>
    </cfRule>
    <cfRule type="cellIs" dxfId="727" priority="20" operator="between">
      <formula>0.81</formula>
      <formula>0.89</formula>
    </cfRule>
    <cfRule type="cellIs" dxfId="726" priority="21" operator="lessThan">
      <formula>0.8</formula>
    </cfRule>
  </conditionalFormatting>
  <conditionalFormatting sqref="H76:H77">
    <cfRule type="cellIs" dxfId="725" priority="7" operator="greaterThan">
      <formula>0.9</formula>
    </cfRule>
    <cfRule type="cellIs" dxfId="724" priority="8" operator="between">
      <formula>0.81</formula>
      <formula>0.89</formula>
    </cfRule>
    <cfRule type="cellIs" dxfId="723" priority="9" operator="lessThan">
      <formula>0.8</formula>
    </cfRule>
  </conditionalFormatting>
  <conditionalFormatting sqref="H79:H85">
    <cfRule type="cellIs" dxfId="722" priority="10" operator="greaterThan">
      <formula>0.9</formula>
    </cfRule>
    <cfRule type="cellIs" dxfId="721" priority="11" operator="between">
      <formula>0.81</formula>
      <formula>0.89</formula>
    </cfRule>
    <cfRule type="cellIs" dxfId="720" priority="12" operator="lessThan">
      <formula>0.8</formula>
    </cfRule>
  </conditionalFormatting>
  <conditionalFormatting sqref="H92:H95">
    <cfRule type="cellIs" dxfId="719" priority="4" operator="greaterThan">
      <formula>0.9</formula>
    </cfRule>
    <cfRule type="cellIs" dxfId="718" priority="5" operator="between">
      <formula>0.81</formula>
      <formula>0.89</formula>
    </cfRule>
    <cfRule type="cellIs" dxfId="717" priority="6" operator="lessThan">
      <formula>0.8</formula>
    </cfRule>
  </conditionalFormatting>
  <conditionalFormatting sqref="L43:L44">
    <cfRule type="cellIs" dxfId="716" priority="1" operator="greaterThan">
      <formula>0.9</formula>
    </cfRule>
    <cfRule type="cellIs" dxfId="715" priority="2" operator="between">
      <formula>0.81</formula>
      <formula>0.89</formula>
    </cfRule>
    <cfRule type="cellIs" dxfId="714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D1F8A92-DF99-4348-90BE-56755478A2EA}">
          <x14:formula1>
            <xm:f>Datos!$B$3:$B$8</xm:f>
          </x14:formula1>
          <xm:sqref>E31:E39 E21:E28</xm:sqref>
        </x14:dataValidation>
        <x14:dataValidation type="list" allowBlank="1" showInputMessage="1" showErrorMessage="1" xr:uid="{895FAFA3-1CB3-499F-8664-C7DC6DE5405A}">
          <x14:formula1>
            <xm:f>Datos!$D$3:$D$27</xm:f>
          </x14:formula1>
          <xm:sqref>F31:F39 F21:F28</xm:sqref>
        </x14:dataValidation>
        <x14:dataValidation type="list" allowBlank="1" showInputMessage="1" showErrorMessage="1" xr:uid="{5C981210-3F5C-4B6D-A049-78123FA48A19}">
          <x14:formula1>
            <xm:f>Datos!$W$3:$W$12</xm:f>
          </x14:formula1>
          <xm:sqref>L31:L39 L21:L28</xm:sqref>
        </x14:dataValidation>
        <x14:dataValidation type="list" allowBlank="1" showInputMessage="1" showErrorMessage="1" xr:uid="{434995CA-8558-473E-8213-D0FBFDD900CA}">
          <x14:formula1>
            <xm:f>Datos!$F$3:$F$41</xm:f>
          </x14:formula1>
          <xm:sqref>G21:G28 G31:G39</xm:sqref>
        </x14:dataValidation>
        <x14:dataValidation type="list" allowBlank="1" showInputMessage="1" showErrorMessage="1" xr:uid="{80C586A3-91C1-4CEE-ACDE-C3D88472CEED}">
          <x14:formula1>
            <xm:f>Datos!$H$3:$H$26</xm:f>
          </x14:formula1>
          <xm:sqref>D28 D39</xm:sqref>
        </x14:dataValidation>
        <x14:dataValidation type="list" allowBlank="1" showInputMessage="1" showErrorMessage="1" xr:uid="{CC6AB8B0-ED83-4A7B-B191-513CCCD6FD95}">
          <x14:formula1>
            <xm:f>Datos!$H$3:$H$34</xm:f>
          </x14:formula1>
          <xm:sqref>D21:D27 D31:D38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E67DD-FDC2-4BE9-A99C-DE28E684176C}">
  <sheetPr>
    <pageSetUpPr fitToPage="1"/>
  </sheetPr>
  <dimension ref="B1:X95"/>
  <sheetViews>
    <sheetView showGridLines="0" topLeftCell="A19" zoomScale="70" zoomScaleNormal="70" zoomScaleSheetLayoutView="50" workbookViewId="0">
      <pane xSplit="3" ySplit="2" topLeftCell="D33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0.60763888888888895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288</v>
      </c>
      <c r="E21" s="172" t="s">
        <v>6</v>
      </c>
      <c r="F21" s="172" t="s">
        <v>169</v>
      </c>
      <c r="G21" s="172" t="s">
        <v>212</v>
      </c>
      <c r="H21" s="174">
        <v>0.39583333333333331</v>
      </c>
      <c r="I21" s="174">
        <v>0.4513888888888889</v>
      </c>
      <c r="J21" s="175"/>
      <c r="K21" s="178"/>
      <c r="L21" s="177"/>
      <c r="M21" s="178"/>
      <c r="N21" s="179">
        <v>1</v>
      </c>
      <c r="O21" s="186"/>
      <c r="P21" s="181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54</v>
      </c>
      <c r="E22" s="172" t="s">
        <v>6</v>
      </c>
      <c r="F22" s="172" t="s">
        <v>169</v>
      </c>
      <c r="G22" s="172" t="s">
        <v>212</v>
      </c>
      <c r="H22" s="174">
        <v>0.4513888888888889</v>
      </c>
      <c r="I22" s="174">
        <v>0.47916666666666669</v>
      </c>
      <c r="J22" s="175">
        <f t="shared" ref="J22:J24" si="0">MOD(I22-H22, 1)</f>
        <v>2.777777777777779E-2</v>
      </c>
      <c r="K22" s="178">
        <v>55</v>
      </c>
      <c r="L22" s="177" t="s">
        <v>125</v>
      </c>
      <c r="M22" s="178">
        <v>4</v>
      </c>
      <c r="N22" s="179">
        <v>1</v>
      </c>
      <c r="O22" s="225"/>
      <c r="P22" s="181"/>
      <c r="Q22" s="174"/>
      <c r="R22" s="172"/>
      <c r="S22" s="175">
        <f t="shared" ref="S22:S27" si="1">+MOD(R22-Q22,1)</f>
        <v>0</v>
      </c>
      <c r="U22" s="182">
        <f>+IFERROR(VLOOKUP(D22,Datos!$R$3:$T$19,3,FALSE), "0")*N22</f>
        <v>0.17798060467769536</v>
      </c>
      <c r="V22" s="183" t="str">
        <f t="shared" ref="V22:V27" si="2">IF(OR(D22="Perforación de Fortificación", D22="Perforación de Avance", D22="Perforación Desquinche"), K22*M22, "")</f>
        <v/>
      </c>
      <c r="W22" s="183" t="str">
        <f t="shared" ref="W22:W27" si="3">IF(D22="Extracción de Marina Disparo",K22,"")</f>
        <v/>
      </c>
      <c r="X22" s="183" t="str">
        <f t="shared" ref="X22:X27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52</v>
      </c>
      <c r="E23" s="172" t="s">
        <v>6</v>
      </c>
      <c r="F23" s="172" t="s">
        <v>169</v>
      </c>
      <c r="G23" s="172" t="s">
        <v>212</v>
      </c>
      <c r="H23" s="174">
        <v>0.47916666666666669</v>
      </c>
      <c r="I23" s="174">
        <v>0.625</v>
      </c>
      <c r="J23" s="175">
        <f t="shared" si="0"/>
        <v>0.14583333333333331</v>
      </c>
      <c r="K23" s="178"/>
      <c r="L23" s="177"/>
      <c r="M23" s="178"/>
      <c r="N23" s="179">
        <v>1</v>
      </c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6.8454078722190517E-2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105</v>
      </c>
      <c r="E24" s="172" t="s">
        <v>6</v>
      </c>
      <c r="F24" s="172" t="s">
        <v>169</v>
      </c>
      <c r="G24" s="172" t="s">
        <v>205</v>
      </c>
      <c r="H24" s="174">
        <v>0.4375</v>
      </c>
      <c r="I24" s="174">
        <v>0.57291666666666663</v>
      </c>
      <c r="J24" s="175">
        <f t="shared" si="0"/>
        <v>0.13541666666666663</v>
      </c>
      <c r="K24" s="178">
        <v>26</v>
      </c>
      <c r="L24" s="177" t="s">
        <v>128</v>
      </c>
      <c r="M24" s="178"/>
      <c r="N24" s="179"/>
      <c r="O24" s="186" t="s">
        <v>401</v>
      </c>
      <c r="P24" s="181" t="s">
        <v>383</v>
      </c>
      <c r="Q24" s="174">
        <v>0.58333333333333337</v>
      </c>
      <c r="R24" s="174">
        <v>0.63194444444444442</v>
      </c>
      <c r="S24" s="175">
        <f t="shared" ref="S24" si="5">MOD(R24-Q24, 1)</f>
        <v>4.8611111111111049E-2</v>
      </c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105</v>
      </c>
      <c r="E25" s="172" t="s">
        <v>6</v>
      </c>
      <c r="F25" s="172" t="s">
        <v>169</v>
      </c>
      <c r="G25" s="172" t="s">
        <v>205</v>
      </c>
      <c r="H25" s="174">
        <v>0.66666666666666663</v>
      </c>
      <c r="I25" s="174">
        <v>0.73611111111111116</v>
      </c>
      <c r="J25" s="175">
        <f>MOD(I25-H25, 1)</f>
        <v>6.9444444444444531E-2</v>
      </c>
      <c r="K25" s="178">
        <v>6</v>
      </c>
      <c r="L25" s="177" t="s">
        <v>128</v>
      </c>
      <c r="M25" s="178"/>
      <c r="N25" s="179"/>
      <c r="O25" s="225" t="s">
        <v>402</v>
      </c>
      <c r="P25" s="181"/>
      <c r="Q25" s="174"/>
      <c r="R25" s="174"/>
      <c r="S25" s="175"/>
      <c r="U25" s="182">
        <f>+IFERROR(VLOOKUP(D25,Datos!$R$3:$T$19,3,FALSE), "0")*N25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7.75" customHeight="1" x14ac:dyDescent="0.3">
      <c r="B26" s="172">
        <v>3500</v>
      </c>
      <c r="C26" s="173" t="str">
        <f>+Datos!$R$2</f>
        <v>Ciclo Minero 10,0 x 7,2 m
Galería Inyección Principal</v>
      </c>
      <c r="D26" s="173" t="s">
        <v>144</v>
      </c>
      <c r="E26" s="172" t="s">
        <v>6</v>
      </c>
      <c r="F26" s="172" t="s">
        <v>169</v>
      </c>
      <c r="G26" s="172" t="s">
        <v>206</v>
      </c>
      <c r="H26" s="174">
        <v>0.47916666666666669</v>
      </c>
      <c r="I26" s="174">
        <v>0.70833333333333337</v>
      </c>
      <c r="J26" s="175">
        <f>MOD(I26-H26, 1)</f>
        <v>0.22916666666666669</v>
      </c>
      <c r="K26" s="178">
        <v>22</v>
      </c>
      <c r="L26" s="177" t="s">
        <v>223</v>
      </c>
      <c r="M26" s="178"/>
      <c r="N26" s="179"/>
      <c r="O26" s="186" t="s">
        <v>403</v>
      </c>
      <c r="P26" s="181"/>
      <c r="Q26" s="174"/>
      <c r="R26" s="174"/>
      <c r="S26" s="175"/>
      <c r="U26" s="182">
        <f>+IFERROR(VLOOKUP(D26,Datos!$R$3:$T$19,3,FALSE), "0")*N26</f>
        <v>0</v>
      </c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MOD(I25-H21, 1)</f>
        <v>0.34027777777777785</v>
      </c>
      <c r="K27" s="178"/>
      <c r="L27" s="177"/>
      <c r="M27" s="178"/>
      <c r="N27" s="179"/>
      <c r="O27" s="186" t="s">
        <v>405</v>
      </c>
      <c r="P27" s="172"/>
      <c r="Q27" s="172"/>
      <c r="R27" s="172"/>
      <c r="S27" s="175">
        <f t="shared" si="1"/>
        <v>0</v>
      </c>
      <c r="U27" s="182">
        <f>SUM(U21:U26)+Datos!T15</f>
        <v>0.29549343981745574</v>
      </c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 t="s">
        <v>59</v>
      </c>
      <c r="E30" s="172" t="s">
        <v>6</v>
      </c>
      <c r="F30" s="172" t="s">
        <v>170</v>
      </c>
      <c r="G30" s="172" t="s">
        <v>213</v>
      </c>
      <c r="H30" s="174">
        <v>0.61805555555555558</v>
      </c>
      <c r="I30" s="174">
        <v>0.63888888888888884</v>
      </c>
      <c r="J30" s="175">
        <f t="shared" ref="J30:J34" si="6">MOD(I30-H30, 1)</f>
        <v>2.0833333333333259E-2</v>
      </c>
      <c r="K30" s="178"/>
      <c r="L30" s="177"/>
      <c r="M30" s="178"/>
      <c r="N30" s="179">
        <v>1</v>
      </c>
      <c r="O30" s="225"/>
      <c r="P30" s="225"/>
      <c r="Q30" s="174"/>
      <c r="R30" s="174"/>
      <c r="S30" s="175">
        <f t="shared" ref="S30:S32" si="7">MOD(R30-Q30, 1)</f>
        <v>0</v>
      </c>
      <c r="U30" s="187">
        <f>+IFERROR(VLOOKUP(D30,Datos!$R$24:$T$40,3,FALSE), "0")*N30</f>
        <v>9.7751710654936444E-3</v>
      </c>
      <c r="V30" s="183" t="str">
        <f t="shared" ref="V30:V38" si="8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8" si="9">IF(OR(D30="Shotcrete", D30="Pre Shotcrete"), K30, "")</f>
        <v/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 t="s">
        <v>347</v>
      </c>
      <c r="E31" s="172" t="s">
        <v>6</v>
      </c>
      <c r="F31" s="172" t="s">
        <v>170</v>
      </c>
      <c r="G31" s="172" t="s">
        <v>211</v>
      </c>
      <c r="H31" s="174">
        <v>0.63888888888888884</v>
      </c>
      <c r="I31" s="174">
        <v>0.66666666666666663</v>
      </c>
      <c r="J31" s="175">
        <f t="shared" si="6"/>
        <v>2.777777777777779E-2</v>
      </c>
      <c r="K31" s="178">
        <v>96</v>
      </c>
      <c r="L31" s="177" t="s">
        <v>129</v>
      </c>
      <c r="M31" s="178"/>
      <c r="N31" s="179">
        <v>1</v>
      </c>
      <c r="O31" s="225"/>
      <c r="P31" s="173"/>
      <c r="Q31" s="174"/>
      <c r="R31" s="174"/>
      <c r="S31" s="175">
        <f t="shared" si="7"/>
        <v>0</v>
      </c>
      <c r="U31" s="187">
        <f>+IFERROR(VLOOKUP(D31,Datos!$R$24:$T$40,3,FALSE), "0")*N31</f>
        <v>0</v>
      </c>
      <c r="V31" s="183" t="str">
        <f t="shared" si="8"/>
        <v/>
      </c>
      <c r="W31" s="183" t="str">
        <f>IF(D31="Extracción de Marina Disparo",K31,"")</f>
        <v/>
      </c>
      <c r="X31" s="183" t="str">
        <f t="shared" si="9"/>
        <v/>
      </c>
    </row>
    <row r="32" spans="2:24" ht="53.4" customHeight="1" x14ac:dyDescent="0.3">
      <c r="B32" s="172">
        <v>3700</v>
      </c>
      <c r="C32" s="173" t="str">
        <f>+C30</f>
        <v>Ciclo Minero 5,2 x 5,6 m
Galería Acceso Portal de Servicio</v>
      </c>
      <c r="D32" s="173" t="s">
        <v>227</v>
      </c>
      <c r="E32" s="172" t="s">
        <v>6</v>
      </c>
      <c r="F32" s="172" t="s">
        <v>170</v>
      </c>
      <c r="G32" s="172" t="s">
        <v>211</v>
      </c>
      <c r="H32" s="174">
        <v>0.66666666666666663</v>
      </c>
      <c r="I32" s="174">
        <v>0.76388888888888884</v>
      </c>
      <c r="J32" s="175">
        <f t="shared" si="6"/>
        <v>9.722222222222221E-2</v>
      </c>
      <c r="K32" s="178">
        <v>96</v>
      </c>
      <c r="L32" s="177" t="s">
        <v>129</v>
      </c>
      <c r="M32" s="178"/>
      <c r="N32" s="179">
        <v>1</v>
      </c>
      <c r="O32" s="225" t="s">
        <v>396</v>
      </c>
      <c r="P32" s="181"/>
      <c r="Q32" s="174"/>
      <c r="R32" s="174"/>
      <c r="S32" s="175">
        <f t="shared" si="7"/>
        <v>0</v>
      </c>
      <c r="U32" s="187">
        <f>+IFERROR(VLOOKUP(D32,Datos!$R$24:$T$40,3,FALSE), "0")*N32</f>
        <v>7.2336265884652987E-2</v>
      </c>
      <c r="V32" s="183" t="str">
        <f t="shared" si="8"/>
        <v/>
      </c>
      <c r="W32" s="183" t="str">
        <f t="shared" ref="W32:W38" si="10">IF(D32="Extracción de Marina Disparo",K32,"")</f>
        <v/>
      </c>
      <c r="X32" s="183" t="str">
        <f t="shared" si="9"/>
        <v/>
      </c>
    </row>
    <row r="33" spans="2:24" ht="38" customHeight="1" x14ac:dyDescent="0.3">
      <c r="B33" s="172">
        <v>3700</v>
      </c>
      <c r="C33" s="173" t="s">
        <v>397</v>
      </c>
      <c r="D33" s="173" t="s">
        <v>398</v>
      </c>
      <c r="E33" s="172" t="s">
        <v>6</v>
      </c>
      <c r="F33" s="172" t="s">
        <v>170</v>
      </c>
      <c r="G33" s="172" t="s">
        <v>202</v>
      </c>
      <c r="H33" s="174">
        <v>0.41666666666666669</v>
      </c>
      <c r="I33" s="174">
        <v>0.45833333333333331</v>
      </c>
      <c r="J33" s="175">
        <f t="shared" si="6"/>
        <v>4.166666666666663E-2</v>
      </c>
      <c r="K33" s="178"/>
      <c r="L33" s="177"/>
      <c r="M33" s="178"/>
      <c r="N33" s="179">
        <v>1</v>
      </c>
      <c r="O33" s="186" t="s">
        <v>399</v>
      </c>
      <c r="P33" s="172"/>
      <c r="Q33" s="172"/>
      <c r="R33" s="172"/>
      <c r="S33" s="175">
        <f t="shared" ref="S33:S38" si="11">+MOD(R33-Q33,1)</f>
        <v>0</v>
      </c>
      <c r="U33" s="187">
        <f>+IFERROR(VLOOKUP(D33,Datos!$R$24:$T$40,3,FALSE), "0")*N33</f>
        <v>0</v>
      </c>
      <c r="V33" s="183" t="str">
        <f t="shared" si="8"/>
        <v/>
      </c>
      <c r="W33" s="183" t="str">
        <f t="shared" si="10"/>
        <v/>
      </c>
      <c r="X33" s="183"/>
    </row>
    <row r="34" spans="2:24" ht="38" customHeight="1" x14ac:dyDescent="0.3">
      <c r="B34" s="172">
        <v>3700</v>
      </c>
      <c r="C34" s="173" t="str">
        <f>+C33</f>
        <v>Fróntón Bodega</v>
      </c>
      <c r="D34" s="173" t="s">
        <v>63</v>
      </c>
      <c r="E34" s="172" t="s">
        <v>6</v>
      </c>
      <c r="F34" s="172" t="s">
        <v>170</v>
      </c>
      <c r="G34" s="172" t="s">
        <v>202</v>
      </c>
      <c r="H34" s="174">
        <v>0.46527777777777779</v>
      </c>
      <c r="I34" s="174">
        <v>0.61805555555555558</v>
      </c>
      <c r="J34" s="175">
        <f t="shared" si="6"/>
        <v>0.15277777777777779</v>
      </c>
      <c r="K34" s="178">
        <v>41</v>
      </c>
      <c r="L34" s="177" t="s">
        <v>138</v>
      </c>
      <c r="M34" s="178">
        <v>3.8</v>
      </c>
      <c r="N34" s="179">
        <v>0.43</v>
      </c>
      <c r="O34" s="186"/>
      <c r="P34" s="181" t="s">
        <v>369</v>
      </c>
      <c r="Q34" s="174">
        <v>0.5</v>
      </c>
      <c r="R34" s="174">
        <v>0.57638888888888884</v>
      </c>
      <c r="S34" s="175">
        <f t="shared" si="11"/>
        <v>7.638888888888884E-2</v>
      </c>
      <c r="U34" s="187">
        <f>+IFERROR(VLOOKUP(D34,Datos!$R$24:$T$40,3,FALSE), "0")*N34</f>
        <v>5.4222873900293254E-2</v>
      </c>
      <c r="V34" s="183">
        <f t="shared" si="8"/>
        <v>155.79999999999998</v>
      </c>
      <c r="W34" s="183" t="str">
        <f t="shared" si="10"/>
        <v/>
      </c>
      <c r="X34" s="183" t="str">
        <f t="shared" si="9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225"/>
      <c r="P35" s="172"/>
      <c r="Q35" s="172"/>
      <c r="R35" s="172"/>
      <c r="S35" s="175">
        <f t="shared" si="11"/>
        <v>0</v>
      </c>
      <c r="U35" s="187">
        <f>+IFERROR(VLOOKUP(D35,Datos!$R$24:$T$40,3,FALSE), "0")*N35</f>
        <v>0</v>
      </c>
      <c r="V35" s="183" t="str">
        <f t="shared" si="8"/>
        <v/>
      </c>
      <c r="W35" s="183" t="str">
        <f t="shared" si="10"/>
        <v/>
      </c>
      <c r="X35" s="183" t="str">
        <f t="shared" si="9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11"/>
        <v>0</v>
      </c>
      <c r="U36" s="187"/>
      <c r="V36" s="183" t="str">
        <f t="shared" si="8"/>
        <v/>
      </c>
      <c r="W36" s="183" t="str">
        <f t="shared" si="10"/>
        <v/>
      </c>
      <c r="X36" s="183" t="str">
        <f t="shared" si="9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11"/>
        <v>0</v>
      </c>
      <c r="U37" s="187"/>
      <c r="V37" s="183" t="str">
        <f t="shared" si="8"/>
        <v/>
      </c>
      <c r="W37" s="183" t="str">
        <f t="shared" si="10"/>
        <v/>
      </c>
      <c r="X37" s="183" t="str">
        <f t="shared" si="9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 t="s">
        <v>329</v>
      </c>
      <c r="J38" s="175">
        <f>MOD(I32-H33, 1)</f>
        <v>0.34722222222222215</v>
      </c>
      <c r="K38" s="178"/>
      <c r="L38" s="177"/>
      <c r="M38" s="178"/>
      <c r="N38" s="179"/>
      <c r="O38" s="186" t="s">
        <v>400</v>
      </c>
      <c r="P38" s="172"/>
      <c r="Q38" s="172"/>
      <c r="R38" s="172"/>
      <c r="S38" s="175">
        <f t="shared" si="11"/>
        <v>0</v>
      </c>
      <c r="U38" s="182">
        <f>SUM(U30:U37)</f>
        <v>0.1363343108504399</v>
      </c>
      <c r="V38" s="183" t="str">
        <f t="shared" si="8"/>
        <v/>
      </c>
      <c r="W38" s="183" t="str">
        <f t="shared" si="10"/>
        <v/>
      </c>
      <c r="X38" s="183" t="str">
        <f t="shared" si="9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SUMPRODUCT((LEFT(F21:F35, 1)="C") / (COUNTIF(F21:F35, F21:F35 &amp; "") + (F21:F35="")))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SUMPRODUCT((LEFT(F21:F35, 1)="O") / (COUNTIF(F21:F35, F21:F35 &amp; "") + (F21:F35="")))</f>
        <v>0</v>
      </c>
      <c r="E42" s="448" t="s">
        <v>198</v>
      </c>
      <c r="F42" s="448"/>
      <c r="G42" s="199">
        <f>SUM(J21:J26)</f>
        <v>0.60763888888888895</v>
      </c>
      <c r="H42" s="200">
        <f>+G42*24/($G$41*24)</f>
        <v>2.3333333333333339</v>
      </c>
      <c r="I42" s="199">
        <f>SUM(J30:J35)</f>
        <v>0.34027777777777768</v>
      </c>
      <c r="J42" s="200">
        <f>+I42*24/($I$41*24)</f>
        <v>1.3066666666666662</v>
      </c>
      <c r="K42" s="201">
        <f>AVERAGE(G42+I42)/2</f>
        <v>0.47395833333333331</v>
      </c>
      <c r="L42" s="200">
        <f>+K42*24/($K$41*24)</f>
        <v>1.82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+AVERAGE(N21:N27)</f>
        <v>1</v>
      </c>
      <c r="I43" s="202"/>
      <c r="J43" s="203">
        <f>+AVERAGE(N30:N35)</f>
        <v>0.8859999999999999</v>
      </c>
      <c r="K43" s="204"/>
      <c r="L43" s="203">
        <f>+AVERAGE(N21:N35)</f>
        <v>0.92874999999999996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404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+U38</f>
        <v>0.1363343108504399</v>
      </c>
      <c r="I46" s="298">
        <f>+H46*$J$46*$K$46</f>
        <v>3.077338064516129</v>
      </c>
      <c r="J46" s="298">
        <v>6.6</v>
      </c>
      <c r="K46" s="246">
        <v>3.42</v>
      </c>
      <c r="L46" s="344">
        <v>56.080975609756102</v>
      </c>
      <c r="M46" s="344">
        <f>+L46*K46*H46</f>
        <v>26.148503172591379</v>
      </c>
    </row>
    <row r="47" spans="2:24" ht="14.4" customHeight="1" x14ac:dyDescent="0.35">
      <c r="E47" s="445" t="s">
        <v>224</v>
      </c>
      <c r="F47" s="445"/>
      <c r="G47" s="445"/>
      <c r="H47" s="209"/>
      <c r="I47" s="298">
        <f>+J47*K47</f>
        <v>0</v>
      </c>
      <c r="J47" s="298">
        <f>1892/1000000</f>
        <v>1.892E-3</v>
      </c>
      <c r="K47" s="246">
        <f>+((15*4.4)*2.72)*0</f>
        <v>0</v>
      </c>
      <c r="L47" s="346">
        <v>1.6919982016368774E-2</v>
      </c>
      <c r="M47" s="344">
        <f>+L47*K47</f>
        <v>0</v>
      </c>
    </row>
    <row r="48" spans="2:24" ht="14.4" customHeight="1" x14ac:dyDescent="0.35">
      <c r="E48" s="445" t="s">
        <v>359</v>
      </c>
      <c r="F48" s="445"/>
      <c r="G48" s="445"/>
      <c r="H48" s="209"/>
      <c r="I48" s="298">
        <f>+J48*K48</f>
        <v>0</v>
      </c>
      <c r="J48" s="298">
        <v>0.340368</v>
      </c>
      <c r="K48" s="246">
        <v>0</v>
      </c>
      <c r="L48" s="346">
        <v>2.2358937544867188</v>
      </c>
      <c r="M48" s="344">
        <f>+L48*K48</f>
        <v>0</v>
      </c>
    </row>
    <row r="49" spans="2:13" ht="14.4" customHeight="1" x14ac:dyDescent="0.35">
      <c r="E49" s="445" t="s">
        <v>376</v>
      </c>
      <c r="F49" s="445"/>
      <c r="G49" s="445"/>
      <c r="H49" s="209">
        <v>0</v>
      </c>
      <c r="I49" s="298">
        <f>+H49*$J$49*$K$49</f>
        <v>0</v>
      </c>
      <c r="J49" s="298">
        <f>23683234/1000000</f>
        <v>23.683233999999999</v>
      </c>
      <c r="K49" s="226">
        <v>0</v>
      </c>
      <c r="L49" s="346">
        <v>254.98967741935485</v>
      </c>
      <c r="M49" s="344">
        <f>+L49*K49*H49</f>
        <v>0</v>
      </c>
    </row>
    <row r="50" spans="2:13" ht="14.4" customHeight="1" x14ac:dyDescent="0.35">
      <c r="E50" s="445" t="s">
        <v>236</v>
      </c>
      <c r="F50" s="445"/>
      <c r="G50" s="445"/>
      <c r="H50" s="209"/>
      <c r="I50" s="298">
        <f>+J50*K50</f>
        <v>0</v>
      </c>
      <c r="J50" s="298">
        <f>25508/1000000</f>
        <v>2.5507999999999999E-2</v>
      </c>
      <c r="K50" s="246">
        <f>7/(0.05)*0</f>
        <v>0</v>
      </c>
      <c r="L50" s="347" t="s">
        <v>486</v>
      </c>
      <c r="M50" s="349"/>
    </row>
    <row r="51" spans="2:13" ht="14.4" customHeight="1" x14ac:dyDescent="0.35">
      <c r="E51" s="445" t="s">
        <v>298</v>
      </c>
      <c r="F51" s="445"/>
      <c r="G51" s="445"/>
      <c r="H51" s="209"/>
      <c r="I51" s="210">
        <f>SUM(I46:I50)</f>
        <v>3.077338064516129</v>
      </c>
      <c r="J51" s="214"/>
      <c r="K51" s="246"/>
      <c r="L51" s="344"/>
      <c r="M51" s="344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>
        <f>+L52*K52*H52</f>
        <v>0</v>
      </c>
    </row>
    <row r="53" spans="2:13" ht="14.4" customHeight="1" x14ac:dyDescent="0.35">
      <c r="E53" s="445" t="s">
        <v>175</v>
      </c>
      <c r="F53" s="445"/>
      <c r="G53" s="445"/>
      <c r="H53" s="209">
        <f>+U27</f>
        <v>0.29549343981745574</v>
      </c>
      <c r="I53" s="210">
        <f>+H53*$J$53*$K$53</f>
        <v>11.924933257273244</v>
      </c>
      <c r="J53" s="211">
        <v>11.8</v>
      </c>
      <c r="K53" s="246">
        <v>3.42</v>
      </c>
      <c r="L53" s="344">
        <v>118.52055555555555</v>
      </c>
      <c r="M53" s="344">
        <f>+L53*K53*H53</f>
        <v>119.77539954363944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4.7551257600000003</v>
      </c>
      <c r="J54" s="296">
        <f>+J47</f>
        <v>1.892E-3</v>
      </c>
      <c r="K54" s="215">
        <f>+((15*2.8)*2.72)*K26</f>
        <v>2513.2800000000002</v>
      </c>
      <c r="L54" s="346">
        <v>1.6919982016368774E-2</v>
      </c>
      <c r="M54" s="344">
        <f>+L54*K54</f>
        <v>42.524652402099314</v>
      </c>
    </row>
    <row r="55" spans="2:13" ht="14.4" customHeight="1" x14ac:dyDescent="0.3">
      <c r="E55" s="445" t="s">
        <v>297</v>
      </c>
      <c r="F55" s="445"/>
      <c r="G55" s="445"/>
      <c r="H55" s="209"/>
      <c r="I55" s="210">
        <f>SUM(I53:I54)</f>
        <v>16.680059017273244</v>
      </c>
      <c r="J55" s="214"/>
      <c r="K55" s="246"/>
      <c r="L55" s="351"/>
      <c r="M55" s="349"/>
    </row>
    <row r="56" spans="2:13" ht="14.4" customHeight="1" x14ac:dyDescent="0.35">
      <c r="E56" s="227"/>
      <c r="F56" s="227"/>
      <c r="G56" s="227"/>
      <c r="H56" s="209"/>
      <c r="I56" s="210"/>
      <c r="J56" s="214"/>
      <c r="K56" s="246"/>
      <c r="L56" s="347"/>
      <c r="M56" s="349"/>
    </row>
    <row r="57" spans="2:13" ht="14.4" customHeight="1" x14ac:dyDescent="0.3">
      <c r="L57" s="213"/>
      <c r="M57" s="352">
        <f>SUM(M46:M56)</f>
        <v>188.44855511833015</v>
      </c>
    </row>
    <row r="58" spans="2:13" ht="7.75" customHeight="1" thickBot="1" x14ac:dyDescent="0.35"/>
    <row r="59" spans="2:13" ht="30" customHeight="1" thickBot="1" x14ac:dyDescent="0.35">
      <c r="B59" s="191"/>
      <c r="C59" s="446" t="s">
        <v>88</v>
      </c>
      <c r="D59" s="446"/>
      <c r="E59" s="192"/>
      <c r="F59" s="192"/>
      <c r="G59" s="192"/>
      <c r="H59" s="192"/>
      <c r="I59" s="216"/>
      <c r="J59" s="193"/>
    </row>
    <row r="60" spans="2:13" ht="38" customHeight="1" x14ac:dyDescent="0.3">
      <c r="C60" s="217" t="s">
        <v>89</v>
      </c>
      <c r="D60" s="195">
        <f>SUMPRODUCT((LEFT(G21:G35, 5)="Jumbo") / (COUNTIF(G21:G35, G21:G35 &amp; "") + (G21:G35="")))</f>
        <v>1</v>
      </c>
      <c r="E60" s="447" t="s">
        <v>90</v>
      </c>
      <c r="F60" s="447"/>
      <c r="G60" s="218">
        <v>0.20833333333333334</v>
      </c>
      <c r="I60" s="139"/>
      <c r="J60" s="190"/>
    </row>
    <row r="61" spans="2:13" ht="38" customHeight="1" x14ac:dyDescent="0.3">
      <c r="E61" s="447" t="s">
        <v>93</v>
      </c>
      <c r="F61" s="447"/>
      <c r="G61" s="195">
        <f>15000/(60)</f>
        <v>250</v>
      </c>
      <c r="H61" s="219" t="s">
        <v>143</v>
      </c>
      <c r="I61" s="139"/>
      <c r="J61" s="190"/>
    </row>
    <row r="62" spans="2:13" ht="38" customHeight="1" x14ac:dyDescent="0.3">
      <c r="E62" s="448" t="s">
        <v>91</v>
      </c>
      <c r="F62" s="448"/>
      <c r="G62" s="207">
        <f>+SUM(SUMIF($G$21:$G$35, "Jumbo*", $J$21:$J$35))/SUMPRODUCT((LEFT(G21:G35, 5)="Jumbo") / (COUNTIF(G21:G35, G21:G35 &amp; "") + (G21:G35="")))</f>
        <v>0.19444444444444442</v>
      </c>
      <c r="H62" s="220">
        <f>+G62*24/($G$60*24)</f>
        <v>0.93333333333333324</v>
      </c>
      <c r="I62" s="190"/>
      <c r="J62" s="190"/>
    </row>
    <row r="63" spans="2:13" ht="38" customHeight="1" x14ac:dyDescent="0.3">
      <c r="E63" s="448" t="s">
        <v>92</v>
      </c>
      <c r="F63" s="448"/>
      <c r="G63" s="221">
        <f>+SUM(V21:V35)/D60</f>
        <v>155.79999999999998</v>
      </c>
      <c r="H63" s="220">
        <f>+G63/G61</f>
        <v>0.62319999999999998</v>
      </c>
      <c r="I63" s="190"/>
      <c r="J63" s="190"/>
    </row>
    <row r="64" spans="2:13" ht="38" customHeight="1" x14ac:dyDescent="0.3">
      <c r="G64" s="222" t="s">
        <v>87</v>
      </c>
      <c r="H64" s="139" t="s">
        <v>23</v>
      </c>
    </row>
    <row r="65" spans="2:10" ht="20" customHeight="1" x14ac:dyDescent="0.3">
      <c r="F65" s="208" t="s">
        <v>65</v>
      </c>
      <c r="G65" s="221">
        <f t="shared" ref="G65:G70" si="12" xml:space="preserve"> SUMIF($G$21:$G$35, +F65,$V$21:$V$35)</f>
        <v>0</v>
      </c>
      <c r="H65" s="220">
        <f t="shared" ref="H65:H70" si="13">+G65/$G$61</f>
        <v>0</v>
      </c>
    </row>
    <row r="66" spans="2:10" ht="20" customHeight="1" x14ac:dyDescent="0.3">
      <c r="F66" s="208" t="s">
        <v>66</v>
      </c>
      <c r="G66" s="221">
        <f t="shared" si="12"/>
        <v>0</v>
      </c>
      <c r="H66" s="220">
        <f t="shared" si="13"/>
        <v>0</v>
      </c>
    </row>
    <row r="67" spans="2:10" ht="20" customHeight="1" x14ac:dyDescent="0.3">
      <c r="F67" s="208" t="s">
        <v>67</v>
      </c>
      <c r="G67" s="221">
        <f t="shared" si="12"/>
        <v>0</v>
      </c>
      <c r="H67" s="220">
        <f t="shared" si="13"/>
        <v>0</v>
      </c>
    </row>
    <row r="68" spans="2:10" ht="20" customHeight="1" x14ac:dyDescent="0.3">
      <c r="F68" s="208" t="s">
        <v>68</v>
      </c>
      <c r="G68" s="221">
        <f t="shared" si="12"/>
        <v>0</v>
      </c>
      <c r="H68" s="220">
        <f t="shared" si="13"/>
        <v>0</v>
      </c>
    </row>
    <row r="69" spans="2:10" ht="20" customHeight="1" x14ac:dyDescent="0.3">
      <c r="F69" s="208" t="s">
        <v>69</v>
      </c>
      <c r="G69" s="221">
        <f t="shared" si="12"/>
        <v>0</v>
      </c>
      <c r="H69" s="220">
        <f t="shared" si="13"/>
        <v>0</v>
      </c>
    </row>
    <row r="70" spans="2:10" ht="20" customHeight="1" x14ac:dyDescent="0.3">
      <c r="F70" s="208" t="s">
        <v>70</v>
      </c>
      <c r="G70" s="221">
        <f t="shared" si="12"/>
        <v>0</v>
      </c>
      <c r="H70" s="220">
        <f t="shared" si="13"/>
        <v>0</v>
      </c>
    </row>
    <row r="71" spans="2:10" ht="20" customHeight="1" x14ac:dyDescent="0.3">
      <c r="F71" s="208" t="s">
        <v>146</v>
      </c>
      <c r="G71" s="223">
        <f>+SUM(G65:G70)</f>
        <v>0</v>
      </c>
      <c r="H71" s="220">
        <f>+G71/($G$61*$D$60)</f>
        <v>0</v>
      </c>
    </row>
    <row r="72" spans="2:10" ht="13.5" thickBot="1" x14ac:dyDescent="0.35"/>
    <row r="73" spans="2:10" ht="30" customHeight="1" thickBot="1" x14ac:dyDescent="0.35">
      <c r="B73" s="191"/>
      <c r="C73" s="446" t="s">
        <v>107</v>
      </c>
      <c r="D73" s="446"/>
      <c r="E73" s="192"/>
      <c r="F73" s="192"/>
      <c r="G73" s="192"/>
      <c r="H73" s="192"/>
      <c r="I73" s="216"/>
      <c r="J73" s="193"/>
    </row>
    <row r="74" spans="2:10" ht="38" customHeight="1" x14ac:dyDescent="0.3">
      <c r="C74" s="208" t="s">
        <v>95</v>
      </c>
      <c r="D74" s="195">
        <f>SUMPRODUCT((LEFT(G21:G35, 5)="Scoop") / (COUNTIF(G21:G35, G21:G35 &amp; "") + (G21:G35="")))</f>
        <v>1</v>
      </c>
      <c r="E74" s="447" t="s">
        <v>90</v>
      </c>
      <c r="F74" s="447"/>
      <c r="G74" s="218">
        <v>0.20833333333333334</v>
      </c>
      <c r="I74" s="139"/>
      <c r="J74" s="190"/>
    </row>
    <row r="75" spans="2:10" ht="38" customHeight="1" x14ac:dyDescent="0.3">
      <c r="C75" s="208" t="s">
        <v>145</v>
      </c>
      <c r="D75" s="195">
        <v>4.9000000000000004</v>
      </c>
      <c r="E75" s="447" t="s">
        <v>97</v>
      </c>
      <c r="F75" s="447"/>
      <c r="G75" s="195">
        <f>15000/(60)</f>
        <v>250</v>
      </c>
      <c r="H75" s="219" t="s">
        <v>23</v>
      </c>
      <c r="I75" s="139"/>
      <c r="J75" s="190"/>
    </row>
    <row r="76" spans="2:10" ht="38" customHeight="1" x14ac:dyDescent="0.3">
      <c r="E76" s="448" t="s">
        <v>98</v>
      </c>
      <c r="F76" s="448"/>
      <c r="G76" s="207">
        <f>+SUM(SUMIF($G$21:$G$35, "Scoop*", $J$21:$J$35))/SUMPRODUCT((LEFT(G21:G35, 5)="Scoop") / (COUNTIF(G21:G35, G21:G35 &amp; "") + (G21:G35="")))</f>
        <v>0.20486111111111116</v>
      </c>
      <c r="H76" s="220">
        <f>+G76*24/($G$74*24)</f>
        <v>0.98333333333333361</v>
      </c>
      <c r="I76" s="190"/>
      <c r="J76" s="190"/>
    </row>
    <row r="77" spans="2:10" ht="38" customHeight="1" x14ac:dyDescent="0.3">
      <c r="E77" s="448" t="s">
        <v>99</v>
      </c>
      <c r="F77" s="448"/>
      <c r="G77" s="221">
        <f>+SUM(W21:W35)*D75/D74</f>
        <v>0</v>
      </c>
      <c r="H77" s="220">
        <f>+G77/G75</f>
        <v>0</v>
      </c>
      <c r="I77" s="190"/>
      <c r="J77" s="190"/>
    </row>
    <row r="78" spans="2:10" ht="38" customHeight="1" x14ac:dyDescent="0.3">
      <c r="G78" s="222" t="s">
        <v>96</v>
      </c>
      <c r="H78" s="139" t="s">
        <v>23</v>
      </c>
    </row>
    <row r="79" spans="2:10" ht="20" customHeight="1" x14ac:dyDescent="0.3">
      <c r="F79" s="208" t="s">
        <v>71</v>
      </c>
      <c r="G79" s="221">
        <f t="shared" ref="G79:G84" si="14" xml:space="preserve"> SUMIF($G$21:$G$35, +F79,$W$21:$W$35)*$D$75</f>
        <v>0</v>
      </c>
      <c r="H79" s="220">
        <f>+G79/$G$75</f>
        <v>0</v>
      </c>
    </row>
    <row r="80" spans="2:10" ht="20" customHeight="1" x14ac:dyDescent="0.3">
      <c r="F80" s="208" t="s">
        <v>72</v>
      </c>
      <c r="G80" s="221">
        <f t="shared" si="14"/>
        <v>0</v>
      </c>
      <c r="H80" s="220">
        <f t="shared" ref="H80:H85" si="15">+G80/$G$75</f>
        <v>0</v>
      </c>
    </row>
    <row r="81" spans="2:10" ht="20" customHeight="1" x14ac:dyDescent="0.3">
      <c r="F81" s="208" t="s">
        <v>73</v>
      </c>
      <c r="G81" s="221">
        <f t="shared" si="14"/>
        <v>0</v>
      </c>
      <c r="H81" s="220">
        <f t="shared" si="15"/>
        <v>0</v>
      </c>
    </row>
    <row r="82" spans="2:10" ht="20" customHeight="1" x14ac:dyDescent="0.3">
      <c r="F82" s="208" t="s">
        <v>74</v>
      </c>
      <c r="G82" s="221">
        <f t="shared" si="14"/>
        <v>0</v>
      </c>
      <c r="H82" s="220">
        <f t="shared" si="15"/>
        <v>0</v>
      </c>
    </row>
    <row r="83" spans="2:10" ht="20" customHeight="1" x14ac:dyDescent="0.3">
      <c r="F83" s="208" t="s">
        <v>75</v>
      </c>
      <c r="G83" s="221">
        <f t="shared" si="14"/>
        <v>0</v>
      </c>
      <c r="H83" s="220">
        <f t="shared" si="15"/>
        <v>0</v>
      </c>
    </row>
    <row r="84" spans="2:10" ht="20" customHeight="1" x14ac:dyDescent="0.3">
      <c r="F84" s="208" t="s">
        <v>76</v>
      </c>
      <c r="G84" s="221">
        <f t="shared" si="14"/>
        <v>0</v>
      </c>
      <c r="H84" s="220">
        <f t="shared" si="15"/>
        <v>0</v>
      </c>
    </row>
    <row r="85" spans="2:10" ht="20" customHeight="1" x14ac:dyDescent="0.3">
      <c r="F85" s="208" t="s">
        <v>146</v>
      </c>
      <c r="G85" s="223">
        <f>+SUM(G79:G84)</f>
        <v>0</v>
      </c>
      <c r="H85" s="220">
        <f t="shared" si="15"/>
        <v>0</v>
      </c>
    </row>
    <row r="86" spans="2:10" ht="13.5" thickBot="1" x14ac:dyDescent="0.35"/>
    <row r="87" spans="2:10" ht="30" customHeight="1" thickBot="1" x14ac:dyDescent="0.35">
      <c r="B87" s="191"/>
      <c r="C87" s="446" t="s">
        <v>149</v>
      </c>
      <c r="D87" s="446"/>
      <c r="E87" s="192"/>
      <c r="F87" s="192"/>
      <c r="G87" s="192"/>
      <c r="H87" s="192"/>
      <c r="I87" s="216"/>
      <c r="J87" s="193"/>
    </row>
    <row r="88" spans="2:10" ht="25.25" customHeight="1" x14ac:dyDescent="0.3">
      <c r="C88" s="208" t="s">
        <v>150</v>
      </c>
      <c r="D88" s="195">
        <f>SUMPRODUCT((LEFT(G21:G35, 8)="Roboshot") / (COUNTIF(G21:G35, G21:G35 &amp; "") + (G21:G35="")))</f>
        <v>0</v>
      </c>
      <c r="E88" s="447" t="s">
        <v>90</v>
      </c>
      <c r="F88" s="447"/>
      <c r="G88" s="218">
        <v>0.20833333333333334</v>
      </c>
    </row>
    <row r="89" spans="2:10" x14ac:dyDescent="0.3">
      <c r="C89" s="208"/>
      <c r="D89" s="195"/>
      <c r="E89" s="447" t="s">
        <v>97</v>
      </c>
      <c r="F89" s="447"/>
      <c r="G89" s="195">
        <v>12</v>
      </c>
      <c r="H89" s="219" t="s">
        <v>23</v>
      </c>
    </row>
    <row r="91" spans="2:10" x14ac:dyDescent="0.3">
      <c r="G91" s="222" t="s">
        <v>96</v>
      </c>
      <c r="H91" s="139" t="s">
        <v>23</v>
      </c>
    </row>
    <row r="92" spans="2:10" x14ac:dyDescent="0.3">
      <c r="F92" s="208" t="s">
        <v>77</v>
      </c>
      <c r="G92" s="221">
        <f xml:space="preserve"> SUMIF($G$21:$G$35, +F92,$X$21:$X$35)</f>
        <v>0</v>
      </c>
      <c r="H92" s="220">
        <f>+G92/$G$89</f>
        <v>0</v>
      </c>
    </row>
    <row r="93" spans="2:10" x14ac:dyDescent="0.3">
      <c r="F93" s="208" t="s">
        <v>78</v>
      </c>
      <c r="G93" s="221">
        <f xml:space="preserve"> SUMIF($G$21:$G$35, +F93,$X$21:$X$35)</f>
        <v>0</v>
      </c>
      <c r="H93" s="220">
        <f t="shared" ref="H93:H94" si="16">+G93/$G$89</f>
        <v>0</v>
      </c>
    </row>
    <row r="94" spans="2:10" x14ac:dyDescent="0.3">
      <c r="F94" s="208" t="s">
        <v>79</v>
      </c>
      <c r="G94" s="221">
        <f xml:space="preserve"> SUMIF($G$21:$G$35, +F94,$X$21:$X$35)</f>
        <v>0</v>
      </c>
      <c r="H94" s="220">
        <f t="shared" si="16"/>
        <v>0</v>
      </c>
    </row>
    <row r="95" spans="2:10" x14ac:dyDescent="0.3">
      <c r="F95" s="208" t="s">
        <v>146</v>
      </c>
      <c r="G95" s="223">
        <f>+SUM(G92:G94)</f>
        <v>0</v>
      </c>
      <c r="H95" s="220">
        <f>+G95/$G$89</f>
        <v>0</v>
      </c>
    </row>
  </sheetData>
  <mergeCells count="40">
    <mergeCell ref="E89:F89"/>
    <mergeCell ref="E74:F74"/>
    <mergeCell ref="E75:F75"/>
    <mergeCell ref="E76:F76"/>
    <mergeCell ref="E77:F77"/>
    <mergeCell ref="C87:D87"/>
    <mergeCell ref="E88:F88"/>
    <mergeCell ref="C59:D59"/>
    <mergeCell ref="E60:F60"/>
    <mergeCell ref="E61:F61"/>
    <mergeCell ref="E62:F62"/>
    <mergeCell ref="E63:F63"/>
    <mergeCell ref="C73:D73"/>
    <mergeCell ref="E55:G55"/>
    <mergeCell ref="E41:F41"/>
    <mergeCell ref="E42:F42"/>
    <mergeCell ref="E43:F43"/>
    <mergeCell ref="E46:G46"/>
    <mergeCell ref="E47:G47"/>
    <mergeCell ref="E48:G48"/>
    <mergeCell ref="E49:G49"/>
    <mergeCell ref="E50:G50"/>
    <mergeCell ref="E51:G51"/>
    <mergeCell ref="E53:G53"/>
    <mergeCell ref="E54:G54"/>
    <mergeCell ref="C40:D40"/>
    <mergeCell ref="G40:H40"/>
    <mergeCell ref="I40:J40"/>
    <mergeCell ref="K40:L40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42:H43 J42:J43">
    <cfRule type="cellIs" dxfId="713" priority="13" operator="greaterThan">
      <formula>0.9</formula>
    </cfRule>
    <cfRule type="cellIs" dxfId="712" priority="14" operator="between">
      <formula>0.81</formula>
      <formula>0.89</formula>
    </cfRule>
    <cfRule type="cellIs" dxfId="711" priority="15" operator="lessThan">
      <formula>0.8</formula>
    </cfRule>
  </conditionalFormatting>
  <conditionalFormatting sqref="H62:H63">
    <cfRule type="cellIs" dxfId="710" priority="16" operator="greaterThan">
      <formula>0.9</formula>
    </cfRule>
    <cfRule type="cellIs" dxfId="709" priority="17" operator="between">
      <formula>0.81</formula>
      <formula>0.89</formula>
    </cfRule>
    <cfRule type="cellIs" dxfId="708" priority="18" operator="lessThan">
      <formula>0.8</formula>
    </cfRule>
  </conditionalFormatting>
  <conditionalFormatting sqref="H65:H71">
    <cfRule type="cellIs" dxfId="707" priority="19" operator="greaterThan">
      <formula>0.9</formula>
    </cfRule>
    <cfRule type="cellIs" dxfId="706" priority="20" operator="between">
      <formula>0.81</formula>
      <formula>0.89</formula>
    </cfRule>
    <cfRule type="cellIs" dxfId="705" priority="21" operator="lessThan">
      <formula>0.8</formula>
    </cfRule>
  </conditionalFormatting>
  <conditionalFormatting sqref="H76:H77">
    <cfRule type="cellIs" dxfId="704" priority="7" operator="greaterThan">
      <formula>0.9</formula>
    </cfRule>
    <cfRule type="cellIs" dxfId="703" priority="8" operator="between">
      <formula>0.81</formula>
      <formula>0.89</formula>
    </cfRule>
    <cfRule type="cellIs" dxfId="702" priority="9" operator="lessThan">
      <formula>0.8</formula>
    </cfRule>
  </conditionalFormatting>
  <conditionalFormatting sqref="H79:H85">
    <cfRule type="cellIs" dxfId="701" priority="10" operator="greaterThan">
      <formula>0.9</formula>
    </cfRule>
    <cfRule type="cellIs" dxfId="700" priority="11" operator="between">
      <formula>0.81</formula>
      <formula>0.89</formula>
    </cfRule>
    <cfRule type="cellIs" dxfId="699" priority="12" operator="lessThan">
      <formula>0.8</formula>
    </cfRule>
  </conditionalFormatting>
  <conditionalFormatting sqref="H92:H95">
    <cfRule type="cellIs" dxfId="698" priority="4" operator="greaterThan">
      <formula>0.9</formula>
    </cfRule>
    <cfRule type="cellIs" dxfId="697" priority="5" operator="between">
      <formula>0.81</formula>
      <formula>0.89</formula>
    </cfRule>
    <cfRule type="cellIs" dxfId="696" priority="6" operator="lessThan">
      <formula>0.8</formula>
    </cfRule>
  </conditionalFormatting>
  <conditionalFormatting sqref="L42:L43">
    <cfRule type="cellIs" dxfId="695" priority="1" operator="greaterThan">
      <formula>0.9</formula>
    </cfRule>
    <cfRule type="cellIs" dxfId="694" priority="2" operator="between">
      <formula>0.81</formula>
      <formula>0.89</formula>
    </cfRule>
    <cfRule type="cellIs" dxfId="693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ignoredErrors>
    <ignoredError sqref="I49" formula="1"/>
  </ignoredError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D363E34A-15FA-46EA-8392-161DAB0AD80A}">
          <x14:formula1>
            <xm:f>Datos!$F$3:$F$41</xm:f>
          </x14:formula1>
          <xm:sqref>G30:G38 G21:G27</xm:sqref>
        </x14:dataValidation>
        <x14:dataValidation type="list" allowBlank="1" showInputMessage="1" showErrorMessage="1" xr:uid="{4C589D7C-F605-45A3-B48B-58BEE9148407}">
          <x14:formula1>
            <xm:f>Datos!$W$3:$W$12</xm:f>
          </x14:formula1>
          <xm:sqref>L30:L38 L21:L27</xm:sqref>
        </x14:dataValidation>
        <x14:dataValidation type="list" allowBlank="1" showInputMessage="1" showErrorMessage="1" xr:uid="{CADC213E-9659-4EE5-BFF8-C943427F23F2}">
          <x14:formula1>
            <xm:f>Datos!$D$3:$D$27</xm:f>
          </x14:formula1>
          <xm:sqref>F30:F38 F21:F27</xm:sqref>
        </x14:dataValidation>
        <x14:dataValidation type="list" allowBlank="1" showInputMessage="1" showErrorMessage="1" xr:uid="{B4F9BFF6-E961-4D2D-ABDA-7433FE0F2F80}">
          <x14:formula1>
            <xm:f>Datos!$B$3:$B$8</xm:f>
          </x14:formula1>
          <xm:sqref>E30:E38 E21:E27</xm:sqref>
        </x14:dataValidation>
        <x14:dataValidation type="list" allowBlank="1" showInputMessage="1" showErrorMessage="1" xr:uid="{0D870CCA-5EAB-4410-9FB1-B0266AA24278}">
          <x14:formula1>
            <xm:f>Datos!$H$3:$H$34</xm:f>
          </x14:formula1>
          <xm:sqref>D30:D37 D21:D26</xm:sqref>
        </x14:dataValidation>
        <x14:dataValidation type="list" allowBlank="1" showInputMessage="1" showErrorMessage="1" xr:uid="{C9EB6FB7-5372-42F3-B196-BEBAC5A616D8}">
          <x14:formula1>
            <xm:f>Datos!$H$3:$H$26</xm:f>
          </x14:formula1>
          <xm:sqref>D27 D38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8FC7-D0E9-4E82-A803-0D363062C911}">
  <sheetPr>
    <pageSetUpPr fitToPage="1"/>
  </sheetPr>
  <dimension ref="B1:X93"/>
  <sheetViews>
    <sheetView showGridLines="0" topLeftCell="A19" zoomScale="70" zoomScaleNormal="70" zoomScaleSheetLayoutView="50" workbookViewId="0">
      <pane xSplit="3" ySplit="2" topLeftCell="D36" activePane="bottomRight" state="frozen"/>
      <selection activeCell="K27" sqref="K27"/>
      <selection pane="topRight" activeCell="K27" sqref="K27"/>
      <selection pane="bottomLeft" activeCell="K27" sqref="K27"/>
      <selection pane="bottomRight" activeCell="K27" sqref="K27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18.36328125" style="134" bestFit="1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18.453125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6.36328125" style="134" bestFit="1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8.36328125" style="134" bestFit="1" customWidth="1"/>
    <col min="23" max="23" width="8.08984375" style="134" bestFit="1" customWidth="1"/>
    <col min="24" max="24" width="8.81640625" style="134" bestFit="1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+G41</f>
        <v>0.55902777777777768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+H42</f>
        <v>0.83333333333333337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+G69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+G83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+G93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398</v>
      </c>
      <c r="E21" s="172" t="s">
        <v>6</v>
      </c>
      <c r="F21" s="172" t="s">
        <v>167</v>
      </c>
      <c r="G21" s="172" t="s">
        <v>203</v>
      </c>
      <c r="H21" s="174">
        <v>0.88888888888888884</v>
      </c>
      <c r="I21" s="174">
        <v>0.90972222222222221</v>
      </c>
      <c r="J21" s="175">
        <f t="shared" ref="J21:J24" si="0">MOD(I21-H21, 1)</f>
        <v>2.083333333333337E-2</v>
      </c>
      <c r="K21" s="178"/>
      <c r="L21" s="177"/>
      <c r="M21" s="178"/>
      <c r="N21" s="179">
        <v>1</v>
      </c>
      <c r="O21" s="225"/>
      <c r="P21" s="181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63</v>
      </c>
      <c r="E22" s="172" t="s">
        <v>6</v>
      </c>
      <c r="F22" s="172" t="s">
        <v>167</v>
      </c>
      <c r="G22" s="172" t="s">
        <v>203</v>
      </c>
      <c r="H22" s="174">
        <v>0.89930555555555558</v>
      </c>
      <c r="I22" s="174">
        <v>0.10416666666666667</v>
      </c>
      <c r="J22" s="175">
        <f t="shared" si="0"/>
        <v>0.20486111111111105</v>
      </c>
      <c r="K22" s="178">
        <f>164</f>
        <v>164</v>
      </c>
      <c r="L22" s="177" t="s">
        <v>138</v>
      </c>
      <c r="M22" s="178">
        <v>3.8</v>
      </c>
      <c r="N22" s="179">
        <v>1</v>
      </c>
      <c r="O22" s="225"/>
      <c r="P22" s="181"/>
      <c r="Q22" s="174"/>
      <c r="R22" s="174"/>
      <c r="S22" s="175">
        <f t="shared" ref="S22:S28" si="1">+MOD(R22-Q22,1)</f>
        <v>0</v>
      </c>
      <c r="U22" s="182">
        <f>+IFERROR(VLOOKUP(D22,Datos!$R$3:$T$19,3,FALSE), "0")*N22</f>
        <v>0.13519680547632629</v>
      </c>
      <c r="V22" s="183">
        <f t="shared" ref="V22:V28" si="2">IF(OR(D22="Perforación de Fortificación", D22="Perforación de Avance", D22="Perforación Desquinche"), K22*M22, "")</f>
        <v>623.19999999999993</v>
      </c>
      <c r="W22" s="183" t="str">
        <f t="shared" ref="W22:W28" si="3">IF(D22="Extracción de Marina Disparo",K22,"")</f>
        <v/>
      </c>
      <c r="X22" s="183" t="str">
        <f t="shared" ref="X22:X28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59</v>
      </c>
      <c r="E23" s="172" t="s">
        <v>6</v>
      </c>
      <c r="F23" s="172" t="s">
        <v>167</v>
      </c>
      <c r="G23" s="172" t="s">
        <v>205</v>
      </c>
      <c r="H23" s="174">
        <v>0.10416666666666667</v>
      </c>
      <c r="I23" s="174">
        <v>0.1111111111111111</v>
      </c>
      <c r="J23" s="175">
        <f t="shared" si="0"/>
        <v>6.9444444444444337E-3</v>
      </c>
      <c r="K23" s="178"/>
      <c r="L23" s="177"/>
      <c r="M23" s="178"/>
      <c r="N23" s="179">
        <v>0</v>
      </c>
      <c r="O23" s="186" t="s">
        <v>406</v>
      </c>
      <c r="P23" s="181"/>
      <c r="Q23" s="174"/>
      <c r="R23" s="174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347</v>
      </c>
      <c r="E24" s="172" t="s">
        <v>6</v>
      </c>
      <c r="F24" s="172" t="s">
        <v>167</v>
      </c>
      <c r="G24" s="172" t="s">
        <v>211</v>
      </c>
      <c r="H24" s="174">
        <v>0.11458333333333333</v>
      </c>
      <c r="I24" s="174">
        <v>0.15625</v>
      </c>
      <c r="J24" s="175">
        <f t="shared" si="0"/>
        <v>4.1666666666666671E-2</v>
      </c>
      <c r="K24" s="178">
        <f>164</f>
        <v>164</v>
      </c>
      <c r="L24" s="177" t="s">
        <v>129</v>
      </c>
      <c r="M24" s="178">
        <v>3.8</v>
      </c>
      <c r="N24" s="179">
        <v>1</v>
      </c>
      <c r="O24" s="186"/>
      <c r="P24" s="181"/>
      <c r="Q24" s="174"/>
      <c r="R24" s="174"/>
      <c r="S24" s="175"/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227</v>
      </c>
      <c r="E25" s="172" t="s">
        <v>6</v>
      </c>
      <c r="F25" s="172" t="s">
        <v>167</v>
      </c>
      <c r="G25" s="172" t="s">
        <v>211</v>
      </c>
      <c r="H25" s="174">
        <v>0.15972222222222221</v>
      </c>
      <c r="I25" s="174">
        <v>0.2986111111111111</v>
      </c>
      <c r="J25" s="175">
        <f>MOD(I25-H25, 1)</f>
        <v>0.1388888888888889</v>
      </c>
      <c r="K25" s="178">
        <f>164</f>
        <v>164</v>
      </c>
      <c r="L25" s="177" t="s">
        <v>129</v>
      </c>
      <c r="M25" s="178">
        <v>3.8</v>
      </c>
      <c r="N25" s="179">
        <v>1</v>
      </c>
      <c r="O25" s="186" t="s">
        <v>407</v>
      </c>
      <c r="P25" s="181"/>
      <c r="Q25" s="172"/>
      <c r="R25" s="172"/>
      <c r="S25" s="175">
        <f>+MOD(R25-Q25,1)</f>
        <v>0</v>
      </c>
      <c r="U25" s="182">
        <f>+IFERROR(VLOOKUP(D25,Datos!$R$3:$T$19,3,FALSE), "0")*N25</f>
        <v>8.3285795778665142E-2</v>
      </c>
      <c r="V25" s="183" t="str">
        <f>IF(OR(D25="Perforación de Fortificación", D25="Perforación de Avance", D25="Perforación Desquinche"), K25*M25, "")</f>
        <v/>
      </c>
      <c r="W25" s="183" t="str">
        <f>IF(D25="Extracción de Marina Disparo",K25,"")</f>
        <v/>
      </c>
      <c r="X25" s="183" t="str">
        <f>IF(OR(D25="Shotcrete", D25="Pre Shotcrete"), K25, "")</f>
        <v/>
      </c>
    </row>
    <row r="26" spans="2:24" ht="38" customHeight="1" x14ac:dyDescent="0.3">
      <c r="B26" s="172">
        <v>3500</v>
      </c>
      <c r="C26" s="173" t="str">
        <f>+Datos!$R$2</f>
        <v>Ciclo Minero 10,0 x 7,2 m
Galería Inyección Principal</v>
      </c>
      <c r="D26" s="173" t="s">
        <v>105</v>
      </c>
      <c r="E26" s="172" t="s">
        <v>6</v>
      </c>
      <c r="F26" s="172" t="s">
        <v>167</v>
      </c>
      <c r="G26" s="172" t="s">
        <v>205</v>
      </c>
      <c r="H26" s="174">
        <v>0.1875</v>
      </c>
      <c r="I26" s="174">
        <v>0.33333333333333331</v>
      </c>
      <c r="J26" s="175">
        <f>MOD(I26-H26, 1)</f>
        <v>0.14583333333333331</v>
      </c>
      <c r="K26" s="178">
        <v>12</v>
      </c>
      <c r="L26" s="177" t="s">
        <v>128</v>
      </c>
      <c r="M26" s="178"/>
      <c r="N26" s="179">
        <v>1</v>
      </c>
      <c r="O26" s="186" t="s">
        <v>408</v>
      </c>
      <c r="P26" s="181"/>
      <c r="Q26" s="174"/>
      <c r="R26" s="174"/>
      <c r="S26" s="175"/>
      <c r="U26" s="182">
        <f>+IFERROR(VLOOKUP(D26,Datos!$R$3:$T$19,3,FALSE), "0")*N26</f>
        <v>0</v>
      </c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ht="37.75" customHeight="1" x14ac:dyDescent="0.3">
      <c r="B27" s="172">
        <v>3500</v>
      </c>
      <c r="C27" s="173" t="str">
        <f>+Datos!$R$2</f>
        <v>Ciclo Minero 10,0 x 7,2 m
Galería Inyección Principal</v>
      </c>
      <c r="D27" s="173"/>
      <c r="E27" s="172"/>
      <c r="F27" s="172"/>
      <c r="G27" s="172"/>
      <c r="H27" s="174"/>
      <c r="I27" s="174"/>
      <c r="J27" s="175">
        <f>MOD(I27-H27, 1)</f>
        <v>0</v>
      </c>
      <c r="K27" s="178"/>
      <c r="L27" s="177"/>
      <c r="M27" s="178"/>
      <c r="N27" s="179"/>
      <c r="O27" s="186"/>
      <c r="P27" s="181"/>
      <c r="Q27" s="174"/>
      <c r="R27" s="174"/>
      <c r="S27" s="175"/>
      <c r="U27" s="182">
        <f>+IFERROR(VLOOKUP(D27,Datos!$R$3:$T$19,3,FALSE), "0")*N27</f>
        <v>0</v>
      </c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 t="s">
        <v>329</v>
      </c>
      <c r="J28" s="175">
        <f>MOD(I25-H21,1)</f>
        <v>0.40972222222222232</v>
      </c>
      <c r="K28" s="178"/>
      <c r="L28" s="177"/>
      <c r="M28" s="178"/>
      <c r="N28" s="179"/>
      <c r="O28" s="186" t="s">
        <v>409</v>
      </c>
      <c r="P28" s="172"/>
      <c r="Q28" s="172"/>
      <c r="R28" s="172"/>
      <c r="S28" s="175">
        <f t="shared" si="1"/>
        <v>0</v>
      </c>
      <c r="U28" s="182">
        <f>SUM(U21:U27)</f>
        <v>0.21848260125499142</v>
      </c>
      <c r="V28" s="183" t="str">
        <f t="shared" si="2"/>
        <v/>
      </c>
      <c r="W28" s="183" t="str">
        <f t="shared" si="3"/>
        <v/>
      </c>
      <c r="X28" s="183" t="str">
        <f t="shared" si="4"/>
        <v/>
      </c>
    </row>
    <row r="29" spans="2:24" x14ac:dyDescent="0.3">
      <c r="B29" s="185" t="s">
        <v>158</v>
      </c>
      <c r="C29" s="63" t="s">
        <v>194</v>
      </c>
      <c r="D29" s="63"/>
      <c r="E29" s="63"/>
      <c r="F29" s="63"/>
      <c r="G29" s="63"/>
      <c r="H29" s="63"/>
      <c r="I29" s="63"/>
      <c r="J29" s="64"/>
      <c r="K29" s="64"/>
      <c r="L29" s="171"/>
      <c r="M29" s="63"/>
      <c r="N29" s="64"/>
      <c r="O29" s="64"/>
      <c r="P29" s="63"/>
      <c r="Q29" s="63"/>
      <c r="R29" s="63"/>
      <c r="S29" s="64"/>
      <c r="U29" s="63"/>
      <c r="V29" s="64"/>
      <c r="W29" s="64"/>
      <c r="X29" s="64"/>
    </row>
    <row r="30" spans="2:24" ht="52" x14ac:dyDescent="0.3">
      <c r="B30" s="63" t="s">
        <v>3</v>
      </c>
      <c r="C30" s="63" t="s">
        <v>2</v>
      </c>
      <c r="D30" s="63" t="s">
        <v>5</v>
      </c>
      <c r="E30" s="63" t="s">
        <v>22</v>
      </c>
      <c r="F30" s="63" t="s">
        <v>139</v>
      </c>
      <c r="G30" s="63" t="s">
        <v>29</v>
      </c>
      <c r="H30" s="63" t="s">
        <v>121</v>
      </c>
      <c r="I30" s="63" t="s">
        <v>4</v>
      </c>
      <c r="J30" s="64" t="s">
        <v>122</v>
      </c>
      <c r="K30" s="64" t="s">
        <v>131</v>
      </c>
      <c r="L30" s="171" t="s">
        <v>123</v>
      </c>
      <c r="M30" s="63" t="s">
        <v>134</v>
      </c>
      <c r="N30" s="64" t="s">
        <v>24</v>
      </c>
      <c r="O30" s="64" t="s">
        <v>130</v>
      </c>
      <c r="P30" s="63" t="s">
        <v>132</v>
      </c>
      <c r="Q30" s="63" t="s">
        <v>121</v>
      </c>
      <c r="R30" s="63" t="s">
        <v>4</v>
      </c>
      <c r="S30" s="64" t="s">
        <v>137</v>
      </c>
      <c r="U30" s="63" t="s">
        <v>109</v>
      </c>
      <c r="V30" s="64" t="s">
        <v>87</v>
      </c>
      <c r="W30" s="64" t="s">
        <v>128</v>
      </c>
      <c r="X30" s="64" t="s">
        <v>128</v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 t="s">
        <v>104</v>
      </c>
      <c r="E31" s="172" t="s">
        <v>6</v>
      </c>
      <c r="F31" s="172" t="s">
        <v>168</v>
      </c>
      <c r="G31" s="172" t="s">
        <v>204</v>
      </c>
      <c r="H31" s="174">
        <v>0.88888888888888884</v>
      </c>
      <c r="I31" s="174">
        <v>0.98611111111111116</v>
      </c>
      <c r="J31" s="175">
        <f t="shared" ref="J31:J35" si="5">MOD(I31-H31, 1)</f>
        <v>9.7222222222222321E-2</v>
      </c>
      <c r="K31" s="178">
        <v>35</v>
      </c>
      <c r="L31" s="177" t="s">
        <v>128</v>
      </c>
      <c r="M31" s="178"/>
      <c r="N31" s="179">
        <v>1</v>
      </c>
      <c r="O31" s="225"/>
      <c r="P31" s="225"/>
      <c r="Q31" s="174"/>
      <c r="R31" s="174"/>
      <c r="S31" s="175">
        <f t="shared" ref="S31:S33" si="6">MOD(R31-Q31, 1)</f>
        <v>0</v>
      </c>
      <c r="U31" s="187">
        <f>+IFERROR(VLOOKUP(D31,Datos!$R$24:$T$40,3,FALSE), "0")*N31</f>
        <v>0.17399804496578691</v>
      </c>
      <c r="V31" s="183" t="str">
        <f t="shared" ref="V31:V37" si="7">IF(OR(D31="Perforación de Fortificación", D31="Perforación de Avance", D31="Perforación Desquinche"), K31*M31, "")</f>
        <v/>
      </c>
      <c r="W31" s="183">
        <f>IF(D31="Extracción de Marina Disparo",K31,"")</f>
        <v>35</v>
      </c>
      <c r="X31" s="183" t="str">
        <f t="shared" ref="X31:X37" si="8">IF(OR(D31="Shotcrete", D31="Pre Shotcrete"), K31, "")</f>
        <v/>
      </c>
    </row>
    <row r="32" spans="2:24" ht="38" customHeight="1" x14ac:dyDescent="0.3">
      <c r="B32" s="172">
        <v>3700</v>
      </c>
      <c r="C32" s="173" t="s">
        <v>410</v>
      </c>
      <c r="D32" s="173" t="s">
        <v>63</v>
      </c>
      <c r="E32" s="172" t="s">
        <v>6</v>
      </c>
      <c r="F32" s="172" t="s">
        <v>168</v>
      </c>
      <c r="G32" s="172" t="s">
        <v>203</v>
      </c>
      <c r="H32" s="174">
        <v>0.99305555555555558</v>
      </c>
      <c r="I32" s="174">
        <v>5.5555555555555552E-2</v>
      </c>
      <c r="J32" s="175">
        <f t="shared" si="5"/>
        <v>6.25E-2</v>
      </c>
      <c r="K32" s="178"/>
      <c r="L32" s="177"/>
      <c r="M32" s="178"/>
      <c r="N32" s="179">
        <v>0</v>
      </c>
      <c r="O32" s="225" t="s">
        <v>411</v>
      </c>
      <c r="P32" s="173"/>
      <c r="Q32" s="174"/>
      <c r="R32" s="174"/>
      <c r="S32" s="175">
        <f t="shared" si="6"/>
        <v>0</v>
      </c>
      <c r="U32" s="187">
        <f>+IFERROR(VLOOKUP(D32,Datos!$R$24:$T$40,3,FALSE), "0")*N32</f>
        <v>0</v>
      </c>
      <c r="V32" s="183">
        <f t="shared" si="7"/>
        <v>0</v>
      </c>
      <c r="W32" s="183" t="str">
        <f>IF(D32="Extracción de Marina Disparo",K32,"")</f>
        <v/>
      </c>
      <c r="X32" s="183" t="str">
        <f t="shared" si="8"/>
        <v/>
      </c>
    </row>
    <row r="33" spans="2:24" ht="53.4" customHeight="1" x14ac:dyDescent="0.3">
      <c r="B33" s="172">
        <v>3700</v>
      </c>
      <c r="C33" s="173" t="s">
        <v>410</v>
      </c>
      <c r="D33" s="173" t="s">
        <v>63</v>
      </c>
      <c r="E33" s="172" t="s">
        <v>6</v>
      </c>
      <c r="F33" s="172" t="s">
        <v>168</v>
      </c>
      <c r="G33" s="172" t="s">
        <v>203</v>
      </c>
      <c r="H33" s="174">
        <v>6.9444444444444448E-2</v>
      </c>
      <c r="I33" s="174">
        <v>0.1875</v>
      </c>
      <c r="J33" s="175">
        <f t="shared" si="5"/>
        <v>0.11805555555555555</v>
      </c>
      <c r="K33" s="178">
        <f>44+6</f>
        <v>50</v>
      </c>
      <c r="L33" s="177" t="s">
        <v>138</v>
      </c>
      <c r="M33" s="178">
        <v>3.8</v>
      </c>
      <c r="N33" s="179">
        <v>1</v>
      </c>
      <c r="O33" s="186"/>
      <c r="P33" s="181"/>
      <c r="Q33" s="174"/>
      <c r="R33" s="174"/>
      <c r="S33" s="175">
        <f t="shared" si="6"/>
        <v>0</v>
      </c>
      <c r="U33" s="187">
        <f>+IFERROR(VLOOKUP(D33,Datos!$R$24:$T$40,3,FALSE), "0")*N33</f>
        <v>0.12609970674486803</v>
      </c>
      <c r="V33" s="183">
        <f t="shared" si="7"/>
        <v>190</v>
      </c>
      <c r="W33" s="183" t="str">
        <f t="shared" ref="W33:W37" si="9">IF(D33="Extracción de Marina Disparo",K33,"")</f>
        <v/>
      </c>
      <c r="X33" s="183" t="str">
        <f t="shared" si="8"/>
        <v/>
      </c>
    </row>
    <row r="34" spans="2:24" ht="38" customHeight="1" x14ac:dyDescent="0.3">
      <c r="B34" s="172">
        <v>3700</v>
      </c>
      <c r="C34" s="173" t="str">
        <f>+C33</f>
        <v>Frontón bodéga</v>
      </c>
      <c r="D34" s="173" t="s">
        <v>59</v>
      </c>
      <c r="E34" s="172" t="s">
        <v>6</v>
      </c>
      <c r="F34" s="172" t="s">
        <v>168</v>
      </c>
      <c r="G34" s="172" t="s">
        <v>213</v>
      </c>
      <c r="H34" s="174">
        <v>0.1875</v>
      </c>
      <c r="I34" s="174">
        <v>0.2013888888888889</v>
      </c>
      <c r="J34" s="175">
        <f t="shared" si="5"/>
        <v>1.3888888888888895E-2</v>
      </c>
      <c r="K34" s="178"/>
      <c r="L34" s="177"/>
      <c r="M34" s="178"/>
      <c r="N34" s="179">
        <v>1</v>
      </c>
      <c r="O34" s="186" t="s">
        <v>412</v>
      </c>
      <c r="P34" s="172"/>
      <c r="Q34" s="172"/>
      <c r="R34" s="172"/>
      <c r="S34" s="175">
        <f t="shared" ref="S34:S37" si="10">+MOD(R34-Q34,1)</f>
        <v>0</v>
      </c>
      <c r="U34" s="187">
        <f>+IFERROR(VLOOKUP(D34,Datos!$R$24:$T$40,3,FALSE), "0")*N34</f>
        <v>9.7751710654936444E-3</v>
      </c>
      <c r="V34" s="183" t="str">
        <f t="shared" si="7"/>
        <v/>
      </c>
      <c r="W34" s="183" t="str">
        <f t="shared" si="9"/>
        <v/>
      </c>
      <c r="X34" s="183"/>
    </row>
    <row r="35" spans="2:24" ht="38" customHeight="1" x14ac:dyDescent="0.3">
      <c r="B35" s="172">
        <v>3700</v>
      </c>
      <c r="C35" s="173" t="str">
        <f>+C34</f>
        <v>Frontón bodéga</v>
      </c>
      <c r="D35" s="173" t="s">
        <v>227</v>
      </c>
      <c r="E35" s="172" t="s">
        <v>6</v>
      </c>
      <c r="F35" s="172" t="s">
        <v>168</v>
      </c>
      <c r="G35" s="172" t="s">
        <v>211</v>
      </c>
      <c r="H35" s="174">
        <v>0.2013888888888889</v>
      </c>
      <c r="I35" s="174">
        <v>0.29166666666666669</v>
      </c>
      <c r="J35" s="175">
        <f t="shared" si="5"/>
        <v>9.027777777777779E-2</v>
      </c>
      <c r="K35" s="178">
        <v>94</v>
      </c>
      <c r="L35" s="177" t="s">
        <v>129</v>
      </c>
      <c r="M35" s="178">
        <v>3.8</v>
      </c>
      <c r="N35" s="179">
        <v>1</v>
      </c>
      <c r="O35" s="186" t="s">
        <v>413</v>
      </c>
      <c r="P35" s="181"/>
      <c r="Q35" s="174"/>
      <c r="R35" s="174"/>
      <c r="S35" s="175">
        <f t="shared" si="10"/>
        <v>0</v>
      </c>
      <c r="U35" s="187">
        <f>+IFERROR(VLOOKUP(D35,Datos!$R$24:$T$40,3,FALSE), "0")*N35</f>
        <v>7.2336265884652987E-2</v>
      </c>
      <c r="V35" s="183" t="str">
        <f t="shared" si="7"/>
        <v/>
      </c>
      <c r="W35" s="183" t="str">
        <f t="shared" si="9"/>
        <v/>
      </c>
      <c r="X35" s="183" t="str">
        <f t="shared" si="8"/>
        <v/>
      </c>
    </row>
    <row r="36" spans="2:24" ht="38" customHeight="1" x14ac:dyDescent="0.3">
      <c r="B36" s="172">
        <v>3700</v>
      </c>
      <c r="C36" s="173" t="s">
        <v>394</v>
      </c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10"/>
        <v>0</v>
      </c>
      <c r="U36" s="187"/>
      <c r="V36" s="183" t="str">
        <f t="shared" si="7"/>
        <v/>
      </c>
      <c r="W36" s="183" t="str">
        <f t="shared" si="9"/>
        <v/>
      </c>
      <c r="X36" s="183" t="str">
        <f t="shared" si="8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 t="s">
        <v>329</v>
      </c>
      <c r="J37" s="175">
        <f>MOD(I35-H31, 1)</f>
        <v>0.4027777777777779</v>
      </c>
      <c r="K37" s="178"/>
      <c r="L37" s="177"/>
      <c r="M37" s="178"/>
      <c r="N37" s="179"/>
      <c r="O37" s="186" t="s">
        <v>367</v>
      </c>
      <c r="P37" s="172"/>
      <c r="Q37" s="172"/>
      <c r="R37" s="172"/>
      <c r="S37" s="175">
        <f t="shared" si="10"/>
        <v>0</v>
      </c>
      <c r="U37" s="182">
        <f>SUM(U31:U36)</f>
        <v>0.38220918866080156</v>
      </c>
      <c r="V37" s="183" t="str">
        <f t="shared" si="7"/>
        <v/>
      </c>
      <c r="W37" s="183" t="str">
        <f t="shared" si="9"/>
        <v/>
      </c>
      <c r="X37" s="183" t="str">
        <f t="shared" si="8"/>
        <v/>
      </c>
    </row>
    <row r="38" spans="2:24" ht="15.65" customHeight="1" thickBot="1" x14ac:dyDescent="0.35">
      <c r="B38" s="190"/>
      <c r="C38" s="190"/>
      <c r="D38" s="190"/>
      <c r="E38" s="190"/>
      <c r="F38" s="190"/>
      <c r="G38" s="190"/>
      <c r="H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</row>
    <row r="39" spans="2:24" ht="30" customHeight="1" thickBot="1" x14ac:dyDescent="0.35">
      <c r="B39" s="191"/>
      <c r="C39" s="446" t="s">
        <v>64</v>
      </c>
      <c r="D39" s="446"/>
      <c r="E39" s="192"/>
      <c r="F39" s="192"/>
      <c r="G39" s="431">
        <v>3500</v>
      </c>
      <c r="H39" s="432"/>
      <c r="I39" s="431">
        <v>3700</v>
      </c>
      <c r="J39" s="432"/>
      <c r="K39" s="433" t="s">
        <v>146</v>
      </c>
      <c r="L39" s="434"/>
      <c r="M39" s="190"/>
      <c r="N39" s="190"/>
      <c r="O39" s="190"/>
      <c r="P39" s="190"/>
      <c r="Q39" s="190"/>
      <c r="R39" s="190"/>
      <c r="S39" s="190"/>
    </row>
    <row r="40" spans="2:24" ht="30" customHeight="1" x14ac:dyDescent="0.3">
      <c r="C40" s="194" t="s">
        <v>48</v>
      </c>
      <c r="D40" s="195">
        <f>SUMPRODUCT((LEFT(F21:F35, 1)="C") / (COUNTIF(F21:F35, F21:F35 &amp; "") + (F21:F35="")))</f>
        <v>0</v>
      </c>
      <c r="E40" s="447" t="s">
        <v>90</v>
      </c>
      <c r="F40" s="447"/>
      <c r="G40" s="196">
        <v>0.26041666666666669</v>
      </c>
      <c r="H40" s="197" t="s">
        <v>23</v>
      </c>
      <c r="I40" s="196">
        <v>0.26041666666666669</v>
      </c>
      <c r="J40" s="197" t="s">
        <v>23</v>
      </c>
      <c r="K40" s="198">
        <f>+G40</f>
        <v>0.26041666666666669</v>
      </c>
      <c r="L40" s="197" t="s">
        <v>23</v>
      </c>
      <c r="M40" s="190"/>
      <c r="N40" s="190"/>
      <c r="O40" s="190"/>
      <c r="P40" s="190"/>
      <c r="Q40" s="190"/>
      <c r="R40" s="190"/>
      <c r="S40" s="190"/>
    </row>
    <row r="41" spans="2:24" x14ac:dyDescent="0.3">
      <c r="C41" s="194" t="s">
        <v>49</v>
      </c>
      <c r="D41" s="195">
        <f>SUMPRODUCT((LEFT(F21:F35, 1)="O") / (COUNTIF(F21:F35, F21:F35 &amp; "") + (F21:F35="")))</f>
        <v>0</v>
      </c>
      <c r="E41" s="448" t="s">
        <v>198</v>
      </c>
      <c r="F41" s="448"/>
      <c r="G41" s="199">
        <f>SUM(J21:J27)</f>
        <v>0.55902777777777768</v>
      </c>
      <c r="H41" s="200">
        <f>+G41*24/($G$40*24)</f>
        <v>2.1466666666666665</v>
      </c>
      <c r="I41" s="199">
        <f>SUM(J31:J35)</f>
        <v>0.38194444444444459</v>
      </c>
      <c r="J41" s="200">
        <f>+I41*24/($I$40*24)</f>
        <v>1.4666666666666672</v>
      </c>
      <c r="K41" s="201">
        <f>AVERAGE(G41+I41)/2</f>
        <v>0.47048611111111116</v>
      </c>
      <c r="L41" s="200">
        <f>+K41*24/($K$40*24)</f>
        <v>1.8066666666666669</v>
      </c>
      <c r="M41" s="190"/>
      <c r="N41" s="190"/>
      <c r="O41" s="190"/>
      <c r="P41" s="190"/>
      <c r="Q41" s="190"/>
      <c r="R41" s="190"/>
      <c r="S41" s="190"/>
    </row>
    <row r="42" spans="2:24" ht="43.25" customHeight="1" thickBot="1" x14ac:dyDescent="0.35">
      <c r="E42" s="448" t="s">
        <v>94</v>
      </c>
      <c r="F42" s="448"/>
      <c r="G42" s="202"/>
      <c r="H42" s="203">
        <f>+AVERAGE(N21:N28)</f>
        <v>0.83333333333333337</v>
      </c>
      <c r="I42" s="202"/>
      <c r="J42" s="203">
        <f>+AVERAGE(N31:N35)</f>
        <v>0.8</v>
      </c>
      <c r="K42" s="204"/>
      <c r="L42" s="203">
        <f>+AVERAGE(N21:N35)</f>
        <v>0.81818181818181823</v>
      </c>
    </row>
    <row r="43" spans="2:24" ht="43.25" customHeight="1" x14ac:dyDescent="0.3">
      <c r="E43" s="205"/>
      <c r="F43" s="205"/>
      <c r="G43" s="206"/>
      <c r="H43" s="206"/>
      <c r="I43" s="137"/>
      <c r="J43" s="137"/>
      <c r="K43" s="137"/>
      <c r="L43" s="137"/>
    </row>
    <row r="44" spans="2:24" ht="43.25" customHeight="1" x14ac:dyDescent="0.3">
      <c r="E44" s="194"/>
      <c r="F44" s="194"/>
      <c r="G44" s="207"/>
      <c r="H44" s="208" t="s">
        <v>24</v>
      </c>
      <c r="I44" s="208" t="s">
        <v>199</v>
      </c>
      <c r="J44" s="208" t="s">
        <v>201</v>
      </c>
      <c r="K44" s="208" t="s">
        <v>258</v>
      </c>
      <c r="L44" s="345" t="s">
        <v>484</v>
      </c>
      <c r="M44" s="345" t="s">
        <v>485</v>
      </c>
      <c r="N44" s="208"/>
    </row>
    <row r="45" spans="2:24" ht="14.5" x14ac:dyDescent="0.35">
      <c r="E45" s="445" t="s">
        <v>174</v>
      </c>
      <c r="F45" s="445"/>
      <c r="G45" s="445"/>
      <c r="H45" s="209">
        <f>+U37</f>
        <v>0.38220918866080156</v>
      </c>
      <c r="I45" s="210">
        <f>+H45*$J$45*$K$45</f>
        <v>8.6272258064516123</v>
      </c>
      <c r="J45" s="299">
        <v>6.6</v>
      </c>
      <c r="K45" s="246">
        <v>3.42</v>
      </c>
      <c r="L45" s="344">
        <v>56.080975609756102</v>
      </c>
      <c r="M45" s="344">
        <f>+L45*K45*H45</f>
        <v>73.306551519919893</v>
      </c>
    </row>
    <row r="46" spans="2:24" ht="14.4" customHeight="1" x14ac:dyDescent="0.35">
      <c r="E46" s="445" t="s">
        <v>224</v>
      </c>
      <c r="F46" s="445"/>
      <c r="G46" s="445"/>
      <c r="H46" s="209"/>
      <c r="I46" s="210">
        <f>+J46*K46</f>
        <v>0</v>
      </c>
      <c r="J46" s="299">
        <f>1892/1000000</f>
        <v>1.892E-3</v>
      </c>
      <c r="K46" s="246">
        <f>+((15*4.4)*2.72)*0</f>
        <v>0</v>
      </c>
      <c r="L46" s="346">
        <v>1.6919982016368774E-2</v>
      </c>
      <c r="M46" s="344">
        <f>+L46*K46</f>
        <v>0</v>
      </c>
    </row>
    <row r="47" spans="2:24" ht="14.4" customHeight="1" x14ac:dyDescent="0.35">
      <c r="E47" s="445" t="s">
        <v>359</v>
      </c>
      <c r="F47" s="445"/>
      <c r="G47" s="445"/>
      <c r="H47" s="209"/>
      <c r="I47" s="210">
        <f>+J47*K47</f>
        <v>0</v>
      </c>
      <c r="J47" s="299">
        <v>0.340368</v>
      </c>
      <c r="K47" s="246">
        <v>0</v>
      </c>
      <c r="L47" s="346">
        <v>2.2358937544867188</v>
      </c>
      <c r="M47" s="344">
        <f>+L47*K47</f>
        <v>0</v>
      </c>
    </row>
    <row r="48" spans="2:24" ht="14.4" customHeight="1" x14ac:dyDescent="0.35">
      <c r="E48" s="445" t="s">
        <v>376</v>
      </c>
      <c r="F48" s="445"/>
      <c r="G48" s="445"/>
      <c r="H48" s="209">
        <v>0</v>
      </c>
      <c r="I48" s="210">
        <f>+H48*$J$48*$K$48</f>
        <v>0</v>
      </c>
      <c r="J48" s="299">
        <f>23683234/1000000</f>
        <v>23.683233999999999</v>
      </c>
      <c r="K48" s="226">
        <v>0</v>
      </c>
      <c r="L48" s="346">
        <v>254.98967741935485</v>
      </c>
      <c r="M48" s="344">
        <f>+L48*K48*H48</f>
        <v>0</v>
      </c>
    </row>
    <row r="49" spans="2:13" ht="14.4" customHeight="1" x14ac:dyDescent="0.35">
      <c r="E49" s="445" t="s">
        <v>298</v>
      </c>
      <c r="F49" s="445"/>
      <c r="G49" s="445"/>
      <c r="H49" s="209"/>
      <c r="I49" s="210">
        <f>SUM(I45:I48)</f>
        <v>8.6272258064516123</v>
      </c>
      <c r="J49" s="214"/>
      <c r="K49" s="246"/>
      <c r="L49" s="347"/>
      <c r="M49" s="349"/>
    </row>
    <row r="50" spans="2:13" ht="14.4" customHeight="1" x14ac:dyDescent="0.35">
      <c r="E50" s="227"/>
      <c r="F50" s="227"/>
      <c r="G50" s="227"/>
      <c r="H50" s="209"/>
      <c r="I50" s="210"/>
      <c r="J50" s="214"/>
      <c r="K50" s="246"/>
      <c r="L50" s="344"/>
      <c r="M50" s="344"/>
    </row>
    <row r="51" spans="2:13" ht="14.4" customHeight="1" x14ac:dyDescent="0.35">
      <c r="E51" s="445" t="s">
        <v>175</v>
      </c>
      <c r="F51" s="445"/>
      <c r="G51" s="445"/>
      <c r="H51" s="209">
        <f>+U28</f>
        <v>0.21848260125499142</v>
      </c>
      <c r="I51" s="210">
        <f>+H51*$J$51*$K$51</f>
        <v>8.817083856246434</v>
      </c>
      <c r="J51" s="299">
        <v>11.8</v>
      </c>
      <c r="K51" s="246">
        <v>3.42</v>
      </c>
      <c r="L51" s="344">
        <v>118.52055555555555</v>
      </c>
      <c r="M51" s="344">
        <f>+L51*K51*H51</f>
        <v>88.559803137478582</v>
      </c>
    </row>
    <row r="52" spans="2:13" ht="14.4" customHeight="1" x14ac:dyDescent="0.35">
      <c r="E52" s="445" t="s">
        <v>225</v>
      </c>
      <c r="F52" s="445"/>
      <c r="G52" s="445"/>
      <c r="H52" s="209"/>
      <c r="I52" s="210">
        <f>+J52*K52</f>
        <v>0</v>
      </c>
      <c r="J52" s="299">
        <f>+J46</f>
        <v>1.892E-3</v>
      </c>
      <c r="K52" s="246">
        <f>+((15*2.8)*2.72)*0</f>
        <v>0</v>
      </c>
      <c r="L52" s="346">
        <v>1.6919982016368774E-2</v>
      </c>
      <c r="M52" s="344">
        <f>+L52*K52</f>
        <v>0</v>
      </c>
    </row>
    <row r="53" spans="2:13" ht="14.4" customHeight="1" x14ac:dyDescent="0.35">
      <c r="E53" s="445" t="s">
        <v>297</v>
      </c>
      <c r="F53" s="445"/>
      <c r="G53" s="445"/>
      <c r="H53" s="209"/>
      <c r="I53" s="210">
        <f>SUM(I51:I52)</f>
        <v>8.817083856246434</v>
      </c>
      <c r="J53" s="214"/>
      <c r="K53" s="246"/>
      <c r="L53" s="346"/>
      <c r="M53" s="344"/>
    </row>
    <row r="54" spans="2:13" ht="14.4" customHeight="1" x14ac:dyDescent="0.3">
      <c r="E54" s="227"/>
      <c r="F54" s="227"/>
      <c r="G54" s="227"/>
      <c r="H54" s="209"/>
      <c r="I54" s="210"/>
      <c r="J54" s="214"/>
      <c r="K54" s="246"/>
      <c r="L54" s="351"/>
      <c r="M54" s="349"/>
    </row>
    <row r="55" spans="2:13" ht="14.4" customHeight="1" x14ac:dyDescent="0.35">
      <c r="E55" s="445" t="s">
        <v>236</v>
      </c>
      <c r="F55" s="445"/>
      <c r="G55" s="445"/>
      <c r="H55" s="209"/>
      <c r="I55" s="210">
        <f>+J55*K55</f>
        <v>0</v>
      </c>
      <c r="J55" s="296">
        <f>25508/1000000</f>
        <v>2.5507999999999999E-2</v>
      </c>
      <c r="K55" s="246">
        <f>14.43*0</f>
        <v>0</v>
      </c>
      <c r="L55" s="347" t="s">
        <v>486</v>
      </c>
      <c r="M55" s="349"/>
    </row>
    <row r="56" spans="2:13" ht="13.5" thickBot="1" x14ac:dyDescent="0.35">
      <c r="M56" s="352">
        <f>SUM(M45:M55)</f>
        <v>161.86635465739846</v>
      </c>
    </row>
    <row r="57" spans="2:13" ht="30" customHeight="1" thickBot="1" x14ac:dyDescent="0.35">
      <c r="B57" s="191"/>
      <c r="C57" s="446" t="s">
        <v>88</v>
      </c>
      <c r="D57" s="446"/>
      <c r="E57" s="192"/>
      <c r="F57" s="192"/>
      <c r="G57" s="192"/>
      <c r="H57" s="192"/>
      <c r="I57" s="216"/>
      <c r="J57" s="193"/>
    </row>
    <row r="58" spans="2:13" ht="38" customHeight="1" x14ac:dyDescent="0.3">
      <c r="C58" s="217" t="s">
        <v>89</v>
      </c>
      <c r="D58" s="195">
        <f>SUMPRODUCT((LEFT(G21:G35, 5)="Jumbo") / (COUNTIF(G21:G35, G21:G35 &amp; "") + (G21:G35="")))</f>
        <v>1</v>
      </c>
      <c r="E58" s="447" t="s">
        <v>90</v>
      </c>
      <c r="F58" s="447"/>
      <c r="G58" s="218">
        <v>0.20833333333333334</v>
      </c>
      <c r="I58" s="139"/>
      <c r="J58" s="190"/>
    </row>
    <row r="59" spans="2:13" ht="38" customHeight="1" x14ac:dyDescent="0.3">
      <c r="E59" s="447" t="s">
        <v>93</v>
      </c>
      <c r="F59" s="447"/>
      <c r="G59" s="195">
        <f>15000/(60)</f>
        <v>250</v>
      </c>
      <c r="H59" s="219" t="s">
        <v>143</v>
      </c>
      <c r="I59" s="139"/>
      <c r="J59" s="190"/>
    </row>
    <row r="60" spans="2:13" ht="38" customHeight="1" x14ac:dyDescent="0.3">
      <c r="E60" s="448" t="s">
        <v>91</v>
      </c>
      <c r="F60" s="448"/>
      <c r="G60" s="207">
        <f>+SUM(SUMIF($G$21:$G$35, "Jumbo*", $J$21:$J$35))/SUMPRODUCT((LEFT(G21:G35, 5)="Jumbo") / (COUNTIF(G21:G35, G21:G35 &amp; "") + (G21:G35="")))</f>
        <v>0.40625</v>
      </c>
      <c r="H60" s="220">
        <f>+G60*24/($G$58*24)</f>
        <v>1.95</v>
      </c>
      <c r="I60" s="190"/>
      <c r="J60" s="190"/>
    </row>
    <row r="61" spans="2:13" ht="38" customHeight="1" x14ac:dyDescent="0.3">
      <c r="E61" s="448" t="s">
        <v>92</v>
      </c>
      <c r="F61" s="448"/>
      <c r="G61" s="221">
        <f>+SUM(V21:V35)/D58</f>
        <v>813.19999999999993</v>
      </c>
      <c r="H61" s="220">
        <f>+G61/G59</f>
        <v>3.2527999999999997</v>
      </c>
      <c r="I61" s="190"/>
      <c r="J61" s="190"/>
    </row>
    <row r="62" spans="2:13" ht="38" customHeight="1" x14ac:dyDescent="0.3">
      <c r="G62" s="222" t="s">
        <v>87</v>
      </c>
      <c r="H62" s="139" t="s">
        <v>23</v>
      </c>
    </row>
    <row r="63" spans="2:13" ht="20" customHeight="1" x14ac:dyDescent="0.3">
      <c r="F63" s="208" t="s">
        <v>65</v>
      </c>
      <c r="G63" s="221">
        <f t="shared" ref="G63:G68" si="11" xml:space="preserve"> SUMIF($G$21:$G$35, +F63,$V$21:$V$35)</f>
        <v>0</v>
      </c>
      <c r="H63" s="220">
        <f t="shared" ref="H63:H68" si="12">+G63/$G$59</f>
        <v>0</v>
      </c>
    </row>
    <row r="64" spans="2:13" ht="20" customHeight="1" x14ac:dyDescent="0.3">
      <c r="F64" s="208" t="s">
        <v>66</v>
      </c>
      <c r="G64" s="221">
        <f t="shared" si="11"/>
        <v>0</v>
      </c>
      <c r="H64" s="220">
        <f t="shared" si="12"/>
        <v>0</v>
      </c>
    </row>
    <row r="65" spans="2:10" ht="20" customHeight="1" x14ac:dyDescent="0.3">
      <c r="F65" s="208" t="s">
        <v>67</v>
      </c>
      <c r="G65" s="221">
        <f t="shared" si="11"/>
        <v>0</v>
      </c>
      <c r="H65" s="220">
        <f t="shared" si="12"/>
        <v>0</v>
      </c>
    </row>
    <row r="66" spans="2:10" ht="20" customHeight="1" x14ac:dyDescent="0.3">
      <c r="F66" s="208" t="s">
        <v>68</v>
      </c>
      <c r="G66" s="221">
        <f t="shared" si="11"/>
        <v>0</v>
      </c>
      <c r="H66" s="220">
        <f t="shared" si="12"/>
        <v>0</v>
      </c>
    </row>
    <row r="67" spans="2:10" ht="20" customHeight="1" x14ac:dyDescent="0.3">
      <c r="F67" s="208" t="s">
        <v>69</v>
      </c>
      <c r="G67" s="221">
        <f t="shared" si="11"/>
        <v>0</v>
      </c>
      <c r="H67" s="220">
        <f t="shared" si="12"/>
        <v>0</v>
      </c>
    </row>
    <row r="68" spans="2:10" ht="20" customHeight="1" x14ac:dyDescent="0.3">
      <c r="F68" s="208" t="s">
        <v>70</v>
      </c>
      <c r="G68" s="221">
        <f t="shared" si="11"/>
        <v>0</v>
      </c>
      <c r="H68" s="220">
        <f t="shared" si="12"/>
        <v>0</v>
      </c>
    </row>
    <row r="69" spans="2:10" ht="20" customHeight="1" x14ac:dyDescent="0.3">
      <c r="F69" s="208" t="s">
        <v>146</v>
      </c>
      <c r="G69" s="223">
        <f>+SUM(G63:G68)</f>
        <v>0</v>
      </c>
      <c r="H69" s="220">
        <f>+G69/($G$59*$D$58)</f>
        <v>0</v>
      </c>
    </row>
    <row r="70" spans="2:10" ht="13.5" thickBot="1" x14ac:dyDescent="0.35"/>
    <row r="71" spans="2:10" ht="30" customHeight="1" thickBot="1" x14ac:dyDescent="0.35">
      <c r="B71" s="191"/>
      <c r="C71" s="446" t="s">
        <v>107</v>
      </c>
      <c r="D71" s="446"/>
      <c r="E71" s="192"/>
      <c r="F71" s="192"/>
      <c r="G71" s="192"/>
      <c r="H71" s="192"/>
      <c r="I71" s="216"/>
      <c r="J71" s="193"/>
    </row>
    <row r="72" spans="2:10" ht="38" customHeight="1" x14ac:dyDescent="0.3">
      <c r="C72" s="208" t="s">
        <v>95</v>
      </c>
      <c r="D72" s="195">
        <f>SUMPRODUCT((LEFT(G21:G35, 5)="Scoop") / (COUNTIF(G21:G35, G21:G35 &amp; "") + (G21:G35="")))</f>
        <v>2</v>
      </c>
      <c r="E72" s="447" t="s">
        <v>90</v>
      </c>
      <c r="F72" s="447"/>
      <c r="G72" s="218">
        <v>0.20833333333333334</v>
      </c>
      <c r="I72" s="139"/>
      <c r="J72" s="190"/>
    </row>
    <row r="73" spans="2:10" ht="38" customHeight="1" x14ac:dyDescent="0.3">
      <c r="C73" s="208" t="s">
        <v>145</v>
      </c>
      <c r="D73" s="195">
        <v>4.9000000000000004</v>
      </c>
      <c r="E73" s="447" t="s">
        <v>97</v>
      </c>
      <c r="F73" s="447"/>
      <c r="G73" s="195">
        <f>15000/(60)</f>
        <v>250</v>
      </c>
      <c r="H73" s="219" t="s">
        <v>23</v>
      </c>
      <c r="I73" s="139"/>
      <c r="J73" s="190"/>
    </row>
    <row r="74" spans="2:10" ht="38" customHeight="1" x14ac:dyDescent="0.3">
      <c r="E74" s="448" t="s">
        <v>98</v>
      </c>
      <c r="F74" s="448"/>
      <c r="G74" s="207">
        <f>+SUM(SUMIF($G$21:$G$35, "Scoop*", $J$21:$J$35))/SUMPRODUCT((LEFT(G21:G35, 5)="Scoop") / (COUNTIF(G21:G35, G21:G35 &amp; "") + (G21:G35="")))</f>
        <v>0.12500000000000003</v>
      </c>
      <c r="H74" s="220">
        <f>+G74*24/($G$72*24)</f>
        <v>0.6000000000000002</v>
      </c>
      <c r="I74" s="190"/>
      <c r="J74" s="190"/>
    </row>
    <row r="75" spans="2:10" ht="38" customHeight="1" x14ac:dyDescent="0.3">
      <c r="E75" s="448" t="s">
        <v>99</v>
      </c>
      <c r="F75" s="448"/>
      <c r="G75" s="221">
        <f>+SUM(W21:W35)*D73/D72</f>
        <v>85.75</v>
      </c>
      <c r="H75" s="220">
        <f>+G75/G73</f>
        <v>0.34300000000000003</v>
      </c>
      <c r="I75" s="190"/>
      <c r="J75" s="190"/>
    </row>
    <row r="76" spans="2:10" ht="38" customHeight="1" x14ac:dyDescent="0.3">
      <c r="G76" s="222" t="s">
        <v>96</v>
      </c>
      <c r="H76" s="139" t="s">
        <v>23</v>
      </c>
    </row>
    <row r="77" spans="2:10" ht="20" customHeight="1" x14ac:dyDescent="0.3">
      <c r="F77" s="208" t="s">
        <v>71</v>
      </c>
      <c r="G77" s="221">
        <f t="shared" ref="G77:G82" si="13" xml:space="preserve"> SUMIF($G$21:$G$35, +F77,$W$21:$W$35)*$D$73</f>
        <v>0</v>
      </c>
      <c r="H77" s="220">
        <f>+G77/$G$73</f>
        <v>0</v>
      </c>
    </row>
    <row r="78" spans="2:10" ht="20" customHeight="1" x14ac:dyDescent="0.3">
      <c r="F78" s="208" t="s">
        <v>72</v>
      </c>
      <c r="G78" s="221">
        <f t="shared" si="13"/>
        <v>0</v>
      </c>
      <c r="H78" s="220">
        <f t="shared" ref="H78:H83" si="14">+G78/$G$73</f>
        <v>0</v>
      </c>
    </row>
    <row r="79" spans="2:10" ht="20" customHeight="1" x14ac:dyDescent="0.3">
      <c r="F79" s="208" t="s">
        <v>73</v>
      </c>
      <c r="G79" s="221">
        <f t="shared" si="13"/>
        <v>0</v>
      </c>
      <c r="H79" s="220">
        <f t="shared" si="14"/>
        <v>0</v>
      </c>
    </row>
    <row r="80" spans="2:10" ht="20" customHeight="1" x14ac:dyDescent="0.3">
      <c r="F80" s="208" t="s">
        <v>74</v>
      </c>
      <c r="G80" s="221">
        <f t="shared" si="13"/>
        <v>0</v>
      </c>
      <c r="H80" s="220">
        <f t="shared" si="14"/>
        <v>0</v>
      </c>
    </row>
    <row r="81" spans="2:10" ht="20" customHeight="1" x14ac:dyDescent="0.3">
      <c r="F81" s="208" t="s">
        <v>75</v>
      </c>
      <c r="G81" s="221">
        <f t="shared" si="13"/>
        <v>0</v>
      </c>
      <c r="H81" s="220">
        <f t="shared" si="14"/>
        <v>0</v>
      </c>
    </row>
    <row r="82" spans="2:10" ht="20" customHeight="1" x14ac:dyDescent="0.3">
      <c r="F82" s="208" t="s">
        <v>76</v>
      </c>
      <c r="G82" s="221">
        <f t="shared" si="13"/>
        <v>0</v>
      </c>
      <c r="H82" s="220">
        <f t="shared" si="14"/>
        <v>0</v>
      </c>
    </row>
    <row r="83" spans="2:10" ht="20" customHeight="1" x14ac:dyDescent="0.3">
      <c r="F83" s="208" t="s">
        <v>146</v>
      </c>
      <c r="G83" s="223">
        <f>+SUM(G77:G82)</f>
        <v>0</v>
      </c>
      <c r="H83" s="220">
        <f t="shared" si="14"/>
        <v>0</v>
      </c>
    </row>
    <row r="84" spans="2:10" ht="13.5" thickBot="1" x14ac:dyDescent="0.35"/>
    <row r="85" spans="2:10" ht="30" customHeight="1" thickBot="1" x14ac:dyDescent="0.35">
      <c r="B85" s="191"/>
      <c r="C85" s="446" t="s">
        <v>149</v>
      </c>
      <c r="D85" s="446"/>
      <c r="E85" s="192"/>
      <c r="F85" s="192"/>
      <c r="G85" s="192"/>
      <c r="H85" s="192"/>
      <c r="I85" s="216"/>
      <c r="J85" s="193"/>
    </row>
    <row r="86" spans="2:10" ht="25.25" customHeight="1" x14ac:dyDescent="0.3">
      <c r="C86" s="208" t="s">
        <v>150</v>
      </c>
      <c r="D86" s="195">
        <f>SUMPRODUCT((LEFT(G21:G35, 8)="Roboshot") / (COUNTIF(G21:G35, G21:G35 &amp; "") + (G21:G35="")))</f>
        <v>0</v>
      </c>
      <c r="E86" s="447" t="s">
        <v>90</v>
      </c>
      <c r="F86" s="447"/>
      <c r="G86" s="218">
        <v>0.20833333333333334</v>
      </c>
    </row>
    <row r="87" spans="2:10" x14ac:dyDescent="0.3">
      <c r="C87" s="208"/>
      <c r="D87" s="195"/>
      <c r="E87" s="447" t="s">
        <v>97</v>
      </c>
      <c r="F87" s="447"/>
      <c r="G87" s="195">
        <v>12</v>
      </c>
      <c r="H87" s="219" t="s">
        <v>23</v>
      </c>
    </row>
    <row r="89" spans="2:10" x14ac:dyDescent="0.3">
      <c r="G89" s="222" t="s">
        <v>96</v>
      </c>
      <c r="H89" s="139" t="s">
        <v>23</v>
      </c>
    </row>
    <row r="90" spans="2:10" x14ac:dyDescent="0.3">
      <c r="F90" s="208" t="s">
        <v>77</v>
      </c>
      <c r="G90" s="221">
        <f xml:space="preserve"> SUMIF($G$21:$G$35, +F90,$X$21:$X$35)</f>
        <v>0</v>
      </c>
      <c r="H90" s="220">
        <f>+G90/$G$87</f>
        <v>0</v>
      </c>
    </row>
    <row r="91" spans="2:10" x14ac:dyDescent="0.3">
      <c r="F91" s="208" t="s">
        <v>78</v>
      </c>
      <c r="G91" s="221">
        <f xml:space="preserve"> SUMIF($G$21:$G$35, +F91,$X$21:$X$35)</f>
        <v>0</v>
      </c>
      <c r="H91" s="220">
        <f t="shared" ref="H91:H92" si="15">+G91/$G$87</f>
        <v>0</v>
      </c>
    </row>
    <row r="92" spans="2:10" x14ac:dyDescent="0.3">
      <c r="F92" s="208" t="s">
        <v>79</v>
      </c>
      <c r="G92" s="221">
        <f xml:space="preserve"> SUMIF($G$21:$G$35, +F92,$X$21:$X$35)</f>
        <v>0</v>
      </c>
      <c r="H92" s="220">
        <f t="shared" si="15"/>
        <v>0</v>
      </c>
    </row>
    <row r="93" spans="2:10" x14ac:dyDescent="0.3">
      <c r="F93" s="208" t="s">
        <v>146</v>
      </c>
      <c r="G93" s="223">
        <f>+SUM(G90:G92)</f>
        <v>0</v>
      </c>
      <c r="H93" s="220">
        <f>+G93/$G$87</f>
        <v>0</v>
      </c>
    </row>
  </sheetData>
  <mergeCells count="40">
    <mergeCell ref="C39:D39"/>
    <mergeCell ref="G39:H39"/>
    <mergeCell ref="I39:J39"/>
    <mergeCell ref="K39:L39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  <mergeCell ref="E55:G55"/>
    <mergeCell ref="E40:F40"/>
    <mergeCell ref="E41:F41"/>
    <mergeCell ref="E42:F42"/>
    <mergeCell ref="E45:G45"/>
    <mergeCell ref="E46:G46"/>
    <mergeCell ref="E47:G47"/>
    <mergeCell ref="E48:G48"/>
    <mergeCell ref="E49:G49"/>
    <mergeCell ref="E51:G51"/>
    <mergeCell ref="E52:G52"/>
    <mergeCell ref="E53:G53"/>
    <mergeCell ref="C85:D85"/>
    <mergeCell ref="E86:F86"/>
    <mergeCell ref="C57:D57"/>
    <mergeCell ref="E58:F58"/>
    <mergeCell ref="E59:F59"/>
    <mergeCell ref="E60:F60"/>
    <mergeCell ref="E61:F61"/>
    <mergeCell ref="C71:D71"/>
    <mergeCell ref="E87:F87"/>
    <mergeCell ref="E72:F72"/>
    <mergeCell ref="E73:F73"/>
    <mergeCell ref="E74:F74"/>
    <mergeCell ref="E75:F75"/>
  </mergeCells>
  <conditionalFormatting sqref="H41:H42 J41:J42">
    <cfRule type="cellIs" dxfId="692" priority="13" operator="greaterThan">
      <formula>0.9</formula>
    </cfRule>
    <cfRule type="cellIs" dxfId="691" priority="14" operator="between">
      <formula>0.81</formula>
      <formula>0.89</formula>
    </cfRule>
    <cfRule type="cellIs" dxfId="690" priority="15" operator="lessThan">
      <formula>0.8</formula>
    </cfRule>
  </conditionalFormatting>
  <conditionalFormatting sqref="H60:H61">
    <cfRule type="cellIs" dxfId="689" priority="16" operator="greaterThan">
      <formula>0.9</formula>
    </cfRule>
    <cfRule type="cellIs" dxfId="688" priority="17" operator="between">
      <formula>0.81</formula>
      <formula>0.89</formula>
    </cfRule>
    <cfRule type="cellIs" dxfId="687" priority="18" operator="lessThan">
      <formula>0.8</formula>
    </cfRule>
  </conditionalFormatting>
  <conditionalFormatting sqref="H63:H69">
    <cfRule type="cellIs" dxfId="686" priority="19" operator="greaterThan">
      <formula>0.9</formula>
    </cfRule>
    <cfRule type="cellIs" dxfId="685" priority="20" operator="between">
      <formula>0.81</formula>
      <formula>0.89</formula>
    </cfRule>
    <cfRule type="cellIs" dxfId="684" priority="21" operator="lessThan">
      <formula>0.8</formula>
    </cfRule>
  </conditionalFormatting>
  <conditionalFormatting sqref="H74:H75">
    <cfRule type="cellIs" dxfId="683" priority="7" operator="greaterThan">
      <formula>0.9</formula>
    </cfRule>
    <cfRule type="cellIs" dxfId="682" priority="8" operator="between">
      <formula>0.81</formula>
      <formula>0.89</formula>
    </cfRule>
    <cfRule type="cellIs" dxfId="681" priority="9" operator="lessThan">
      <formula>0.8</formula>
    </cfRule>
  </conditionalFormatting>
  <conditionalFormatting sqref="H77:H83">
    <cfRule type="cellIs" dxfId="680" priority="10" operator="greaterThan">
      <formula>0.9</formula>
    </cfRule>
    <cfRule type="cellIs" dxfId="679" priority="11" operator="between">
      <formula>0.81</formula>
      <formula>0.89</formula>
    </cfRule>
    <cfRule type="cellIs" dxfId="678" priority="12" operator="lessThan">
      <formula>0.8</formula>
    </cfRule>
  </conditionalFormatting>
  <conditionalFormatting sqref="H90:H93">
    <cfRule type="cellIs" dxfId="677" priority="4" operator="greaterThan">
      <formula>0.9</formula>
    </cfRule>
    <cfRule type="cellIs" dxfId="676" priority="5" operator="between">
      <formula>0.81</formula>
      <formula>0.89</formula>
    </cfRule>
    <cfRule type="cellIs" dxfId="675" priority="6" operator="lessThan">
      <formula>0.8</formula>
    </cfRule>
  </conditionalFormatting>
  <conditionalFormatting sqref="L41:L42">
    <cfRule type="cellIs" dxfId="674" priority="1" operator="greaterThan">
      <formula>0.9</formula>
    </cfRule>
    <cfRule type="cellIs" dxfId="673" priority="2" operator="between">
      <formula>0.81</formula>
      <formula>0.89</formula>
    </cfRule>
    <cfRule type="cellIs" dxfId="672" priority="3" operator="lessThan">
      <formula>0.8</formula>
    </cfRule>
  </conditionalFormatting>
  <pageMargins left="0.25" right="0.25" top="0.75" bottom="0.75" header="0.3" footer="0.3"/>
  <pageSetup scale="3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09EA02F6-0345-4B1E-B46F-1A6F11A289A5}">
          <x14:formula1>
            <xm:f>Datos!$F$3:$F$41</xm:f>
          </x14:formula1>
          <xm:sqref>G21:G28 G31:G37</xm:sqref>
        </x14:dataValidation>
        <x14:dataValidation type="list" allowBlank="1" showInputMessage="1" showErrorMessage="1" xr:uid="{C9F31514-830C-4455-9133-DBAA44A6875D}">
          <x14:formula1>
            <xm:f>Datos!$W$3:$W$12</xm:f>
          </x14:formula1>
          <xm:sqref>L21:L28 L31:L37</xm:sqref>
        </x14:dataValidation>
        <x14:dataValidation type="list" allowBlank="1" showInputMessage="1" showErrorMessage="1" xr:uid="{BED7CA3E-48D2-46A3-A8F2-0429256126A6}">
          <x14:formula1>
            <xm:f>Datos!$D$3:$D$27</xm:f>
          </x14:formula1>
          <xm:sqref>F21:F28 F31:F37</xm:sqref>
        </x14:dataValidation>
        <x14:dataValidation type="list" allowBlank="1" showInputMessage="1" showErrorMessage="1" xr:uid="{50B9EDF1-04E0-4FAA-9C64-DAEC094D8096}">
          <x14:formula1>
            <xm:f>Datos!$B$3:$B$8</xm:f>
          </x14:formula1>
          <xm:sqref>E21:E28 E31:E37</xm:sqref>
        </x14:dataValidation>
        <x14:dataValidation type="list" allowBlank="1" showInputMessage="1" showErrorMessage="1" xr:uid="{ED1E3BFD-2E17-417D-95E8-7E270D79D44C}">
          <x14:formula1>
            <xm:f>Datos!$H$3:$H$34</xm:f>
          </x14:formula1>
          <xm:sqref>D21:D27 D31:D36</xm:sqref>
        </x14:dataValidation>
        <x14:dataValidation type="list" allowBlank="1" showInputMessage="1" showErrorMessage="1" xr:uid="{47A57A51-C92E-4CDD-9CFF-2C19F93C8642}">
          <x14:formula1>
            <xm:f>Datos!$H$3:$H$26</xm:f>
          </x14:formula1>
          <xm:sqref>D28 D37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8442-9C0A-420D-A5E8-063952BAA1E5}">
  <sheetPr>
    <pageSetUpPr fitToPage="1"/>
  </sheetPr>
  <dimension ref="B1:X95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I53" sqref="I53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0.42708333333333337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0.88461538461538458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110</v>
      </c>
      <c r="E21" s="172" t="s">
        <v>6</v>
      </c>
      <c r="F21" s="172" t="s">
        <v>163</v>
      </c>
      <c r="G21" s="172"/>
      <c r="H21" s="174">
        <v>0.375</v>
      </c>
      <c r="I21" s="174">
        <v>0.47916666666666669</v>
      </c>
      <c r="J21" s="175">
        <f>I21-H21</f>
        <v>0.10416666666666669</v>
      </c>
      <c r="K21" s="178"/>
      <c r="L21" s="177"/>
      <c r="M21" s="178"/>
      <c r="N21" s="179">
        <v>1</v>
      </c>
      <c r="O21" s="186" t="s">
        <v>420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110</v>
      </c>
      <c r="E22" s="172" t="s">
        <v>6</v>
      </c>
      <c r="F22" s="172" t="s">
        <v>163</v>
      </c>
      <c r="G22" s="172"/>
      <c r="H22" s="174">
        <v>0.4513888888888889</v>
      </c>
      <c r="I22" s="174">
        <v>0.47916666666666669</v>
      </c>
      <c r="J22" s="175">
        <f>I22-H22</f>
        <v>2.777777777777779E-2</v>
      </c>
      <c r="K22" s="178"/>
      <c r="L22" s="177"/>
      <c r="M22" s="178"/>
      <c r="N22" s="179">
        <v>1</v>
      </c>
      <c r="O22" s="225" t="s">
        <v>421</v>
      </c>
      <c r="P22" s="181"/>
      <c r="Q22" s="174"/>
      <c r="R22" s="172"/>
      <c r="S22" s="175">
        <f t="shared" ref="S22:S27" si="0">+MOD(R22-Q22,1)</f>
        <v>0</v>
      </c>
      <c r="U22" s="182">
        <f>+IFERROR(VLOOKUP(D22,Datos!$R$3:$T$19,3,FALSE), "0")*N22</f>
        <v>0</v>
      </c>
      <c r="V22" s="183" t="str">
        <f t="shared" ref="V22:V27" si="1">IF(OR(D22="Perforación de Fortificación", D22="Perforación de Avance", D22="Perforación Desquinche"), K22*M22, "")</f>
        <v/>
      </c>
      <c r="W22" s="183" t="str">
        <f t="shared" ref="W22:W27" si="2">IF(D22="Extracción de Marina Disparo",K22,"")</f>
        <v/>
      </c>
      <c r="X22" s="183" t="str">
        <f t="shared" ref="X22:X27" si="3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110</v>
      </c>
      <c r="E23" s="172" t="s">
        <v>6</v>
      </c>
      <c r="F23" s="172" t="s">
        <v>163</v>
      </c>
      <c r="G23" s="172"/>
      <c r="H23" s="174">
        <v>0.47916666666666669</v>
      </c>
      <c r="I23" s="174">
        <v>0.53125</v>
      </c>
      <c r="J23" s="175">
        <f t="shared" ref="J23" si="4">MOD(I23-H23, 1)</f>
        <v>5.2083333333333315E-2</v>
      </c>
      <c r="K23" s="178"/>
      <c r="L23" s="177"/>
      <c r="M23" s="178"/>
      <c r="N23" s="179">
        <v>1</v>
      </c>
      <c r="O23" s="186" t="s">
        <v>422</v>
      </c>
      <c r="P23" s="181"/>
      <c r="Q23" s="174"/>
      <c r="R23" s="172"/>
      <c r="S23" s="175">
        <f t="shared" si="0"/>
        <v>0</v>
      </c>
      <c r="U23" s="182">
        <f>+IFERROR(VLOOKUP(D23,Datos!$R$3:$T$19,3,FALSE), "0")*N23</f>
        <v>0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104</v>
      </c>
      <c r="E24" s="172" t="s">
        <v>6</v>
      </c>
      <c r="F24" s="172" t="s">
        <v>32</v>
      </c>
      <c r="G24" s="172" t="s">
        <v>204</v>
      </c>
      <c r="H24" s="174">
        <v>0.53819444444444442</v>
      </c>
      <c r="I24" s="174">
        <v>0.78125</v>
      </c>
      <c r="J24" s="175">
        <f t="shared" ref="J24" si="5">MOD(I24-H24, 1)</f>
        <v>0.24305555555555558</v>
      </c>
      <c r="K24" s="178">
        <v>42</v>
      </c>
      <c r="L24" s="177" t="s">
        <v>128</v>
      </c>
      <c r="M24" s="178"/>
      <c r="N24" s="179">
        <f>K24/(42+36)</f>
        <v>0.53846153846153844</v>
      </c>
      <c r="O24" s="186" t="s">
        <v>423</v>
      </c>
      <c r="P24" s="181"/>
      <c r="Q24" s="174"/>
      <c r="R24" s="174"/>
      <c r="S24" s="175"/>
      <c r="U24" s="182">
        <f>+IFERROR(VLOOKUP(D24,Datos!$R$3:$T$19,3,FALSE), "0")*N24</f>
        <v>0.12102330071525734</v>
      </c>
      <c r="V24" s="183" t="str">
        <f t="shared" si="1"/>
        <v/>
      </c>
      <c r="W24" s="183">
        <f t="shared" si="2"/>
        <v>42</v>
      </c>
      <c r="X24" s="183" t="str">
        <f t="shared" si="3"/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225"/>
      <c r="P25" s="181"/>
      <c r="Q25" s="174"/>
      <c r="R25" s="174"/>
      <c r="S25" s="175"/>
      <c r="U25" s="182">
        <f>+IFERROR(VLOOKUP(D25,Datos!$R$3:$T$19,3,FALSE), "0")*N25</f>
        <v>0</v>
      </c>
      <c r="V25" s="183" t="str">
        <f t="shared" si="1"/>
        <v/>
      </c>
      <c r="W25" s="183" t="str">
        <f t="shared" si="2"/>
        <v/>
      </c>
      <c r="X25" s="183" t="str">
        <f t="shared" si="3"/>
        <v/>
      </c>
    </row>
    <row r="26" spans="2:24" ht="37.75" customHeight="1" x14ac:dyDescent="0.3">
      <c r="B26" s="172">
        <v>3500</v>
      </c>
      <c r="C26" s="173" t="str">
        <f>+Datos!$R$2</f>
        <v>Ciclo Minero 10,0 x 7,2 m
Galería Inyección Principal</v>
      </c>
      <c r="D26" s="173"/>
      <c r="E26" s="172"/>
      <c r="F26" s="172"/>
      <c r="G26" s="172"/>
      <c r="H26" s="174"/>
      <c r="I26" s="174"/>
      <c r="J26" s="175"/>
      <c r="K26" s="178"/>
      <c r="L26" s="177"/>
      <c r="M26" s="178"/>
      <c r="N26" s="179"/>
      <c r="O26" s="186"/>
      <c r="P26" s="181"/>
      <c r="Q26" s="174"/>
      <c r="R26" s="174"/>
      <c r="S26" s="175"/>
      <c r="U26" s="182">
        <f>+IFERROR(VLOOKUP(D26,Datos!$R$3:$T$19,3,FALSE), "0")*N26</f>
        <v>0</v>
      </c>
      <c r="V26" s="183" t="str">
        <f t="shared" si="1"/>
        <v/>
      </c>
      <c r="W26" s="183" t="str">
        <f t="shared" si="2"/>
        <v/>
      </c>
      <c r="X26" s="183" t="str">
        <f t="shared" si="3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MOD(I24-H21, 1)</f>
        <v>0.40625</v>
      </c>
      <c r="K27" s="178"/>
      <c r="L27" s="177"/>
      <c r="M27" s="178"/>
      <c r="N27" s="179"/>
      <c r="O27" s="186"/>
      <c r="P27" s="172"/>
      <c r="Q27" s="172"/>
      <c r="R27" s="172"/>
      <c r="S27" s="175">
        <f t="shared" si="0"/>
        <v>0</v>
      </c>
      <c r="U27" s="182">
        <f>SUM(U21:U26)</f>
        <v>0.12102330071525734</v>
      </c>
      <c r="V27" s="183" t="str">
        <f t="shared" si="1"/>
        <v/>
      </c>
      <c r="W27" s="183" t="str">
        <f t="shared" si="2"/>
        <v/>
      </c>
      <c r="X27" s="183" t="str">
        <f t="shared" si="3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 t="s">
        <v>110</v>
      </c>
      <c r="E30" s="172"/>
      <c r="F30" s="172"/>
      <c r="G30" s="172"/>
      <c r="H30" s="174">
        <v>0.38541666666666669</v>
      </c>
      <c r="I30" s="174">
        <v>0.54166666666666663</v>
      </c>
      <c r="J30" s="175">
        <f>I30-H30</f>
        <v>0.15624999999999994</v>
      </c>
      <c r="K30" s="178"/>
      <c r="L30" s="177"/>
      <c r="M30" s="178"/>
      <c r="N30" s="179">
        <v>1</v>
      </c>
      <c r="O30" s="186" t="s">
        <v>424</v>
      </c>
      <c r="P30" s="225"/>
      <c r="Q30" s="174"/>
      <c r="R30" s="174"/>
      <c r="S30" s="175"/>
      <c r="U30" s="187">
        <f>+IFERROR(VLOOKUP(D30,Datos!$R$24:$T$40,3,FALSE), "0")*N30</f>
        <v>0</v>
      </c>
      <c r="V30" s="183" t="str">
        <f t="shared" ref="V30:V38" si="6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8" si="7">IF(OR(D30="Shotcrete", D30="Pre Shotcrete"), K30, "")</f>
        <v/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73"/>
      <c r="Q31" s="174"/>
      <c r="R31" s="174"/>
      <c r="S31" s="175"/>
      <c r="U31" s="187">
        <f>+IFERROR(VLOOKUP(D31,Datos!$R$24:$T$40,3,FALSE), "0")*N31</f>
        <v>0</v>
      </c>
      <c r="V31" s="183" t="str">
        <f t="shared" si="6"/>
        <v/>
      </c>
      <c r="W31" s="183" t="str">
        <f>IF(D31="Extracción de Marina Disparo",K31,"")</f>
        <v/>
      </c>
      <c r="X31" s="183" t="str">
        <f t="shared" si="7"/>
        <v/>
      </c>
    </row>
    <row r="32" spans="2:24" ht="53.4" customHeight="1" x14ac:dyDescent="0.3">
      <c r="B32" s="172">
        <v>3700</v>
      </c>
      <c r="C32" s="173" t="str">
        <f>+C30</f>
        <v>Ciclo Minero 5,2 x 5,6 m
Galería Acceso Portal de Servicio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225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6"/>
        <v/>
      </c>
      <c r="W32" s="183" t="str">
        <f t="shared" ref="W32:W38" si="8">IF(D32="Extracción de Marina Disparo",K32,"")</f>
        <v/>
      </c>
      <c r="X32" s="183" t="str">
        <f t="shared" si="7"/>
        <v/>
      </c>
    </row>
    <row r="33" spans="2:24" ht="38" customHeight="1" x14ac:dyDescent="0.3">
      <c r="B33" s="172">
        <v>3700</v>
      </c>
      <c r="C33" s="173" t="s">
        <v>397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72"/>
      <c r="Q33" s="172"/>
      <c r="R33" s="172"/>
      <c r="S33" s="175"/>
      <c r="U33" s="187">
        <f>+IFERROR(VLOOKUP(D33,Datos!$R$24:$T$40,3,FALSE), "0")*N33</f>
        <v>0</v>
      </c>
      <c r="V33" s="183" t="str">
        <f t="shared" si="6"/>
        <v/>
      </c>
      <c r="W33" s="183" t="str">
        <f t="shared" si="8"/>
        <v/>
      </c>
      <c r="X33" s="183"/>
    </row>
    <row r="34" spans="2:24" ht="38" customHeight="1" x14ac:dyDescent="0.3">
      <c r="B34" s="172">
        <v>3700</v>
      </c>
      <c r="C34" s="173" t="str">
        <f>+C33</f>
        <v>Fróntón Bodega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6"/>
      <c r="P34" s="181"/>
      <c r="Q34" s="174"/>
      <c r="R34" s="174"/>
      <c r="S34" s="175"/>
      <c r="U34" s="187">
        <f>+IFERROR(VLOOKUP(D34,Datos!$R$24:$T$40,3,FALSE), "0")*N34</f>
        <v>0</v>
      </c>
      <c r="V34" s="183" t="str">
        <f t="shared" si="6"/>
        <v/>
      </c>
      <c r="W34" s="183" t="str">
        <f t="shared" si="8"/>
        <v/>
      </c>
      <c r="X34" s="183" t="str">
        <f t="shared" si="7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225"/>
      <c r="P35" s="172"/>
      <c r="Q35" s="172"/>
      <c r="R35" s="172"/>
      <c r="S35" s="175">
        <f t="shared" ref="S35:S38" si="9">+MOD(R35-Q35,1)</f>
        <v>0</v>
      </c>
      <c r="U35" s="187">
        <f>+IFERROR(VLOOKUP(D35,Datos!$R$24:$T$40,3,FALSE), "0")*N35</f>
        <v>0</v>
      </c>
      <c r="V35" s="183" t="str">
        <f t="shared" si="6"/>
        <v/>
      </c>
      <c r="W35" s="183" t="str">
        <f t="shared" si="8"/>
        <v/>
      </c>
      <c r="X35" s="183" t="str">
        <f t="shared" si="7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9"/>
        <v>0</v>
      </c>
      <c r="U36" s="187"/>
      <c r="V36" s="183" t="str">
        <f t="shared" si="6"/>
        <v/>
      </c>
      <c r="W36" s="183" t="str">
        <f t="shared" si="8"/>
        <v/>
      </c>
      <c r="X36" s="183" t="str">
        <f t="shared" si="7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9"/>
        <v>0</v>
      </c>
      <c r="U37" s="187"/>
      <c r="V37" s="183" t="str">
        <f t="shared" si="6"/>
        <v/>
      </c>
      <c r="W37" s="183" t="str">
        <f t="shared" si="8"/>
        <v/>
      </c>
      <c r="X37" s="183" t="str">
        <f t="shared" si="7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 t="s">
        <v>329</v>
      </c>
      <c r="J38" s="175">
        <f>MOD(I30-H30, 1)</f>
        <v>0.15624999999999994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9"/>
        <v>0</v>
      </c>
      <c r="U38" s="182">
        <f>SUM(U30:U37)</f>
        <v>0</v>
      </c>
      <c r="V38" s="183" t="str">
        <f t="shared" si="6"/>
        <v/>
      </c>
      <c r="W38" s="183" t="str">
        <f t="shared" si="8"/>
        <v/>
      </c>
      <c r="X38" s="183" t="str">
        <f t="shared" si="7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SUMPRODUCT((LEFT(F21:F35, 1)="C") / (COUNTIF(F21:F35, F21:F35 &amp; "") + (F21:F35="")))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SUMPRODUCT((LEFT(F21:F35, 1)="O") / (COUNTIF(F21:F35, F21:F35 &amp; "") + (F21:F35="")))</f>
        <v>1</v>
      </c>
      <c r="E42" s="448" t="s">
        <v>198</v>
      </c>
      <c r="F42" s="448"/>
      <c r="G42" s="199">
        <f>SUM(J21:J26)</f>
        <v>0.42708333333333337</v>
      </c>
      <c r="H42" s="200">
        <f>+G42*24/($G$41*24)</f>
        <v>1.64</v>
      </c>
      <c r="I42" s="199">
        <f>SUM(J30:J35)</f>
        <v>0.15624999999999994</v>
      </c>
      <c r="J42" s="200">
        <f>+I42*24/($I$41*24)</f>
        <v>0.59999999999999976</v>
      </c>
      <c r="K42" s="201">
        <f>AVERAGE(G42+I42)/2</f>
        <v>0.29166666666666663</v>
      </c>
      <c r="L42" s="200">
        <f>+K42*24/($K$41*24)</f>
        <v>1.1199999999999999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+AVERAGE(N21:N27)</f>
        <v>0.88461538461538458</v>
      </c>
      <c r="I43" s="202"/>
      <c r="J43" s="203">
        <f>+AVERAGE(N30:N35)</f>
        <v>1</v>
      </c>
      <c r="K43" s="204"/>
      <c r="L43" s="203">
        <f>+AVERAGE(N21:N35)</f>
        <v>0.90769230769230769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404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+U38</f>
        <v>0</v>
      </c>
      <c r="I46" s="298">
        <f>+H46*$J$46*$K$46</f>
        <v>0</v>
      </c>
      <c r="J46" s="298">
        <v>6.6</v>
      </c>
      <c r="K46" s="246">
        <v>3.42</v>
      </c>
      <c r="L46" s="344">
        <v>56.080975609756102</v>
      </c>
      <c r="M46" s="344">
        <f>+L46*K46*H46</f>
        <v>0</v>
      </c>
    </row>
    <row r="47" spans="2:24" ht="14.4" customHeight="1" x14ac:dyDescent="0.35">
      <c r="E47" s="445" t="s">
        <v>224</v>
      </c>
      <c r="F47" s="445"/>
      <c r="G47" s="445"/>
      <c r="H47" s="209"/>
      <c r="I47" s="298">
        <f>+J47*K47</f>
        <v>0</v>
      </c>
      <c r="J47" s="298">
        <f>1892/1000000</f>
        <v>1.892E-3</v>
      </c>
      <c r="K47" s="246">
        <f>+((15*4.4)*2.72)*0</f>
        <v>0</v>
      </c>
      <c r="L47" s="346">
        <v>1.6919982016368774E-2</v>
      </c>
      <c r="M47" s="344">
        <f>+L47*K47</f>
        <v>0</v>
      </c>
    </row>
    <row r="48" spans="2:24" ht="14.4" customHeight="1" x14ac:dyDescent="0.35">
      <c r="E48" s="445" t="s">
        <v>359</v>
      </c>
      <c r="F48" s="445"/>
      <c r="G48" s="445"/>
      <c r="H48" s="209"/>
      <c r="I48" s="298">
        <f>+J48*K48</f>
        <v>0</v>
      </c>
      <c r="J48" s="298">
        <v>0.340368</v>
      </c>
      <c r="K48" s="246">
        <v>0</v>
      </c>
      <c r="L48" s="346">
        <v>2.2358937544867188</v>
      </c>
      <c r="M48" s="344">
        <f>+L48*K48</f>
        <v>0</v>
      </c>
    </row>
    <row r="49" spans="2:13" ht="14.4" customHeight="1" x14ac:dyDescent="0.35">
      <c r="E49" s="445" t="s">
        <v>376</v>
      </c>
      <c r="F49" s="445"/>
      <c r="G49" s="445"/>
      <c r="H49" s="209">
        <v>0</v>
      </c>
      <c r="I49" s="298">
        <f>+H49*$J$49*$K$49</f>
        <v>0</v>
      </c>
      <c r="J49" s="298">
        <f>23683234/1000000</f>
        <v>23.683233999999999</v>
      </c>
      <c r="K49" s="226">
        <v>0</v>
      </c>
      <c r="L49" s="346">
        <v>254.98967741935485</v>
      </c>
      <c r="M49" s="344">
        <f>+L49*K49*H49</f>
        <v>0</v>
      </c>
    </row>
    <row r="50" spans="2:13" ht="14.4" customHeight="1" x14ac:dyDescent="0.35">
      <c r="E50" s="445" t="s">
        <v>236</v>
      </c>
      <c r="F50" s="445"/>
      <c r="G50" s="445"/>
      <c r="H50" s="209"/>
      <c r="I50" s="298">
        <f>+J50*K50</f>
        <v>0</v>
      </c>
      <c r="J50" s="298">
        <f>25508/1000000</f>
        <v>2.5507999999999999E-2</v>
      </c>
      <c r="K50" s="246">
        <f>7/(0.05)*0</f>
        <v>0</v>
      </c>
      <c r="L50" s="347" t="s">
        <v>486</v>
      </c>
      <c r="M50" s="349"/>
    </row>
    <row r="51" spans="2:13" ht="14.4" customHeight="1" x14ac:dyDescent="0.35">
      <c r="E51" s="445" t="s">
        <v>298</v>
      </c>
      <c r="F51" s="445"/>
      <c r="G51" s="445"/>
      <c r="H51" s="209"/>
      <c r="I51" s="210">
        <f>SUM(I46:I50)</f>
        <v>0</v>
      </c>
      <c r="J51" s="214"/>
      <c r="K51" s="246"/>
      <c r="L51" s="344"/>
      <c r="M51" s="344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/>
    </row>
    <row r="53" spans="2:13" ht="14.4" customHeight="1" x14ac:dyDescent="0.35">
      <c r="E53" s="445" t="s">
        <v>175</v>
      </c>
      <c r="F53" s="445"/>
      <c r="G53" s="445"/>
      <c r="H53" s="209">
        <f>+U27</f>
        <v>0.12102330071525734</v>
      </c>
      <c r="I53" s="210">
        <f>+H53*$J$53*$K$53</f>
        <v>4.8840163236649259</v>
      </c>
      <c r="J53" s="211">
        <v>11.8</v>
      </c>
      <c r="K53" s="246">
        <v>3.42</v>
      </c>
      <c r="L53" s="344">
        <v>118.52055555555555</v>
      </c>
      <c r="M53" s="344">
        <f>+L53*K53*H53</f>
        <v>49.055621018912618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0</v>
      </c>
      <c r="J54" s="296">
        <f>+J47*0</f>
        <v>0</v>
      </c>
      <c r="K54" s="215">
        <f>+((15*2.8)*2.72)*K26</f>
        <v>0</v>
      </c>
      <c r="L54" s="346">
        <v>1.6919982016368774E-2</v>
      </c>
      <c r="M54" s="344">
        <f>+L54*K54</f>
        <v>0</v>
      </c>
    </row>
    <row r="55" spans="2:13" ht="14.4" customHeight="1" x14ac:dyDescent="0.3">
      <c r="E55" s="445" t="s">
        <v>297</v>
      </c>
      <c r="F55" s="445"/>
      <c r="G55" s="445"/>
      <c r="H55" s="209"/>
      <c r="I55" s="210">
        <f>SUM(I53:I54)</f>
        <v>4.8840163236649259</v>
      </c>
      <c r="J55" s="214"/>
      <c r="K55" s="246"/>
      <c r="L55" s="351"/>
      <c r="M55" s="349"/>
    </row>
    <row r="56" spans="2:13" ht="14.4" customHeight="1" x14ac:dyDescent="0.35">
      <c r="E56" s="227"/>
      <c r="F56" s="227"/>
      <c r="G56" s="227"/>
      <c r="H56" s="209"/>
      <c r="I56" s="210"/>
      <c r="J56" s="214"/>
      <c r="K56" s="246"/>
      <c r="L56" s="347"/>
      <c r="M56" s="349"/>
    </row>
    <row r="57" spans="2:13" ht="14.4" customHeight="1" x14ac:dyDescent="0.3">
      <c r="L57" s="213"/>
      <c r="M57" s="352">
        <f>SUM(M46:M56)</f>
        <v>49.055621018912618</v>
      </c>
    </row>
    <row r="58" spans="2:13" ht="7.75" customHeight="1" thickBot="1" x14ac:dyDescent="0.35"/>
    <row r="59" spans="2:13" ht="30" customHeight="1" thickBot="1" x14ac:dyDescent="0.35">
      <c r="B59" s="191"/>
      <c r="C59" s="446" t="s">
        <v>88</v>
      </c>
      <c r="D59" s="446"/>
      <c r="E59" s="192"/>
      <c r="F59" s="192"/>
      <c r="G59" s="192"/>
      <c r="H59" s="192"/>
      <c r="I59" s="216"/>
      <c r="J59" s="193"/>
    </row>
    <row r="60" spans="2:13" ht="38" customHeight="1" x14ac:dyDescent="0.3">
      <c r="C60" s="217" t="s">
        <v>89</v>
      </c>
      <c r="D60" s="195">
        <f>SUMPRODUCT((LEFT(G21:G35, 5)="Jumbo") / (COUNTIF(G21:G35, G21:G35 &amp; "") + (G21:G35="")))</f>
        <v>0</v>
      </c>
      <c r="E60" s="447" t="s">
        <v>90</v>
      </c>
      <c r="F60" s="447"/>
      <c r="G60" s="218">
        <v>0.20833333333333334</v>
      </c>
      <c r="I60" s="139"/>
      <c r="J60" s="190"/>
    </row>
    <row r="61" spans="2:13" ht="38" customHeight="1" x14ac:dyDescent="0.3">
      <c r="E61" s="447" t="s">
        <v>93</v>
      </c>
      <c r="F61" s="447"/>
      <c r="G61" s="195">
        <f>15000/(60)</f>
        <v>250</v>
      </c>
      <c r="H61" s="219" t="s">
        <v>143</v>
      </c>
      <c r="I61" s="139"/>
      <c r="J61" s="190"/>
    </row>
    <row r="62" spans="2:13" ht="38" customHeight="1" x14ac:dyDescent="0.3">
      <c r="E62" s="448" t="s">
        <v>91</v>
      </c>
      <c r="F62" s="448"/>
      <c r="G62" s="207" t="e">
        <f>+SUM(SUMIF($G$21:$G$35, "Jumbo*", $J$21:$J$35))/SUMPRODUCT((LEFT(G21:G35, 5)="Jumbo") / (COUNTIF(G21:G35, G21:G35 &amp; "") + (G21:G35="")))</f>
        <v>#DIV/0!</v>
      </c>
      <c r="H62" s="220" t="e">
        <f>+G62*24/($G$60*24)</f>
        <v>#DIV/0!</v>
      </c>
      <c r="I62" s="190"/>
      <c r="J62" s="190"/>
    </row>
    <row r="63" spans="2:13" ht="38" customHeight="1" x14ac:dyDescent="0.3">
      <c r="E63" s="448" t="s">
        <v>92</v>
      </c>
      <c r="F63" s="448"/>
      <c r="G63" s="221" t="e">
        <f>+SUM(V21:V35)/D60</f>
        <v>#DIV/0!</v>
      </c>
      <c r="H63" s="220" t="e">
        <f>+G63/G61</f>
        <v>#DIV/0!</v>
      </c>
      <c r="I63" s="190"/>
      <c r="J63" s="190"/>
    </row>
    <row r="64" spans="2:13" ht="38" customHeight="1" x14ac:dyDescent="0.3">
      <c r="G64" s="222" t="s">
        <v>87</v>
      </c>
      <c r="H64" s="139" t="s">
        <v>23</v>
      </c>
    </row>
    <row r="65" spans="2:10" ht="20" customHeight="1" x14ac:dyDescent="0.3">
      <c r="F65" s="208" t="s">
        <v>65</v>
      </c>
      <c r="G65" s="221">
        <f t="shared" ref="G65:G70" si="10" xml:space="preserve"> SUMIF($G$21:$G$35, +F65,$V$21:$V$35)</f>
        <v>0</v>
      </c>
      <c r="H65" s="220">
        <f t="shared" ref="H65:H70" si="11">+G65/$G$61</f>
        <v>0</v>
      </c>
    </row>
    <row r="66" spans="2:10" ht="20" customHeight="1" x14ac:dyDescent="0.3">
      <c r="F66" s="208" t="s">
        <v>66</v>
      </c>
      <c r="G66" s="221">
        <f t="shared" si="10"/>
        <v>0</v>
      </c>
      <c r="H66" s="220">
        <f t="shared" si="11"/>
        <v>0</v>
      </c>
    </row>
    <row r="67" spans="2:10" ht="20" customHeight="1" x14ac:dyDescent="0.3">
      <c r="F67" s="208" t="s">
        <v>67</v>
      </c>
      <c r="G67" s="221">
        <f t="shared" si="10"/>
        <v>0</v>
      </c>
      <c r="H67" s="220">
        <f t="shared" si="11"/>
        <v>0</v>
      </c>
    </row>
    <row r="68" spans="2:10" ht="20" customHeight="1" x14ac:dyDescent="0.3">
      <c r="F68" s="208" t="s">
        <v>68</v>
      </c>
      <c r="G68" s="221">
        <f t="shared" si="10"/>
        <v>0</v>
      </c>
      <c r="H68" s="220">
        <f t="shared" si="11"/>
        <v>0</v>
      </c>
    </row>
    <row r="69" spans="2:10" ht="20" customHeight="1" x14ac:dyDescent="0.3">
      <c r="F69" s="208" t="s">
        <v>69</v>
      </c>
      <c r="G69" s="221">
        <f t="shared" si="10"/>
        <v>0</v>
      </c>
      <c r="H69" s="220">
        <f t="shared" si="11"/>
        <v>0</v>
      </c>
    </row>
    <row r="70" spans="2:10" ht="20" customHeight="1" x14ac:dyDescent="0.3">
      <c r="F70" s="208" t="s">
        <v>70</v>
      </c>
      <c r="G70" s="221">
        <f t="shared" si="10"/>
        <v>0</v>
      </c>
      <c r="H70" s="220">
        <f t="shared" si="11"/>
        <v>0</v>
      </c>
    </row>
    <row r="71" spans="2:10" ht="20" customHeight="1" x14ac:dyDescent="0.3">
      <c r="F71" s="208" t="s">
        <v>146</v>
      </c>
      <c r="G71" s="223">
        <f>+SUM(G65:G70)</f>
        <v>0</v>
      </c>
      <c r="H71" s="220" t="e">
        <f>+G71/($G$61*$D$60)</f>
        <v>#DIV/0!</v>
      </c>
    </row>
    <row r="72" spans="2:10" ht="13.5" thickBot="1" x14ac:dyDescent="0.35"/>
    <row r="73" spans="2:10" ht="30" customHeight="1" thickBot="1" x14ac:dyDescent="0.35">
      <c r="B73" s="191"/>
      <c r="C73" s="446" t="s">
        <v>107</v>
      </c>
      <c r="D73" s="446"/>
      <c r="E73" s="192"/>
      <c r="F73" s="192"/>
      <c r="G73" s="192"/>
      <c r="H73" s="192"/>
      <c r="I73" s="216"/>
      <c r="J73" s="193"/>
    </row>
    <row r="74" spans="2:10" ht="38" customHeight="1" x14ac:dyDescent="0.3">
      <c r="C74" s="208" t="s">
        <v>95</v>
      </c>
      <c r="D74" s="195">
        <f>SUMPRODUCT((LEFT(G21:G35, 5)="Scoop") / (COUNTIF(G21:G35, G21:G35 &amp; "") + (G21:G35="")))</f>
        <v>1</v>
      </c>
      <c r="E74" s="447" t="s">
        <v>90</v>
      </c>
      <c r="F74" s="447"/>
      <c r="G74" s="218">
        <v>0.20833333333333334</v>
      </c>
      <c r="I74" s="139"/>
      <c r="J74" s="190"/>
    </row>
    <row r="75" spans="2:10" ht="38" customHeight="1" x14ac:dyDescent="0.3">
      <c r="C75" s="208" t="s">
        <v>145</v>
      </c>
      <c r="D75" s="195">
        <v>4.9000000000000004</v>
      </c>
      <c r="E75" s="447" t="s">
        <v>97</v>
      </c>
      <c r="F75" s="447"/>
      <c r="G75" s="195">
        <f>15000/(60)</f>
        <v>250</v>
      </c>
      <c r="H75" s="219" t="s">
        <v>23</v>
      </c>
      <c r="I75" s="139"/>
      <c r="J75" s="190"/>
    </row>
    <row r="76" spans="2:10" ht="38" customHeight="1" x14ac:dyDescent="0.3">
      <c r="E76" s="448" t="s">
        <v>98</v>
      </c>
      <c r="F76" s="448"/>
      <c r="G76" s="207">
        <f>+SUM(SUMIF($G$21:$G$35, "Scoop*", $J$21:$J$35))/SUMPRODUCT((LEFT(G21:G35, 5)="Scoop") / (COUNTIF(G21:G35, G21:G35 &amp; "") + (G21:G35="")))</f>
        <v>0.24305555555555558</v>
      </c>
      <c r="H76" s="220">
        <f>+G76*24/($G$74*24)</f>
        <v>1.1666666666666667</v>
      </c>
      <c r="I76" s="190"/>
      <c r="J76" s="190"/>
    </row>
    <row r="77" spans="2:10" ht="38" customHeight="1" x14ac:dyDescent="0.3">
      <c r="E77" s="448" t="s">
        <v>99</v>
      </c>
      <c r="F77" s="448"/>
      <c r="G77" s="221">
        <f>+SUM(W21:W35)*D75/D74</f>
        <v>205.8</v>
      </c>
      <c r="H77" s="220">
        <f>+G77/G75</f>
        <v>0.82320000000000004</v>
      </c>
      <c r="I77" s="190"/>
      <c r="J77" s="190"/>
    </row>
    <row r="78" spans="2:10" ht="38" customHeight="1" x14ac:dyDescent="0.3">
      <c r="G78" s="222" t="s">
        <v>96</v>
      </c>
      <c r="H78" s="139" t="s">
        <v>23</v>
      </c>
    </row>
    <row r="79" spans="2:10" ht="20" customHeight="1" x14ac:dyDescent="0.3">
      <c r="F79" s="208" t="s">
        <v>71</v>
      </c>
      <c r="G79" s="221">
        <f t="shared" ref="G79:G84" si="12" xml:space="preserve"> SUMIF($G$21:$G$35, +F79,$W$21:$W$35)*$D$75</f>
        <v>0</v>
      </c>
      <c r="H79" s="220">
        <f>+G79/$G$75</f>
        <v>0</v>
      </c>
    </row>
    <row r="80" spans="2:10" ht="20" customHeight="1" x14ac:dyDescent="0.3">
      <c r="F80" s="208" t="s">
        <v>72</v>
      </c>
      <c r="G80" s="221">
        <f t="shared" si="12"/>
        <v>0</v>
      </c>
      <c r="H80" s="220">
        <f t="shared" ref="H80:H85" si="13">+G80/$G$75</f>
        <v>0</v>
      </c>
    </row>
    <row r="81" spans="2:10" ht="20" customHeight="1" x14ac:dyDescent="0.3">
      <c r="F81" s="208" t="s">
        <v>73</v>
      </c>
      <c r="G81" s="221">
        <f t="shared" si="12"/>
        <v>0</v>
      </c>
      <c r="H81" s="220">
        <f t="shared" si="13"/>
        <v>0</v>
      </c>
    </row>
    <row r="82" spans="2:10" ht="20" customHeight="1" x14ac:dyDescent="0.3">
      <c r="F82" s="208" t="s">
        <v>74</v>
      </c>
      <c r="G82" s="221">
        <f t="shared" si="12"/>
        <v>0</v>
      </c>
      <c r="H82" s="220">
        <f t="shared" si="13"/>
        <v>0</v>
      </c>
    </row>
    <row r="83" spans="2:10" ht="20" customHeight="1" x14ac:dyDescent="0.3">
      <c r="F83" s="208" t="s">
        <v>75</v>
      </c>
      <c r="G83" s="221">
        <f t="shared" si="12"/>
        <v>0</v>
      </c>
      <c r="H83" s="220">
        <f t="shared" si="13"/>
        <v>0</v>
      </c>
    </row>
    <row r="84" spans="2:10" ht="20" customHeight="1" x14ac:dyDescent="0.3">
      <c r="F84" s="208" t="s">
        <v>76</v>
      </c>
      <c r="G84" s="221">
        <f t="shared" si="12"/>
        <v>0</v>
      </c>
      <c r="H84" s="220">
        <f t="shared" si="13"/>
        <v>0</v>
      </c>
    </row>
    <row r="85" spans="2:10" ht="20" customHeight="1" x14ac:dyDescent="0.3">
      <c r="F85" s="208" t="s">
        <v>146</v>
      </c>
      <c r="G85" s="223">
        <f>+SUM(G79:G84)</f>
        <v>0</v>
      </c>
      <c r="H85" s="220">
        <f t="shared" si="13"/>
        <v>0</v>
      </c>
    </row>
    <row r="86" spans="2:10" ht="13.5" thickBot="1" x14ac:dyDescent="0.35"/>
    <row r="87" spans="2:10" ht="30" customHeight="1" thickBot="1" x14ac:dyDescent="0.35">
      <c r="B87" s="191"/>
      <c r="C87" s="446" t="s">
        <v>149</v>
      </c>
      <c r="D87" s="446"/>
      <c r="E87" s="192"/>
      <c r="F87" s="192"/>
      <c r="G87" s="192"/>
      <c r="H87" s="192"/>
      <c r="I87" s="216"/>
      <c r="J87" s="193"/>
    </row>
    <row r="88" spans="2:10" ht="25.25" customHeight="1" x14ac:dyDescent="0.3">
      <c r="C88" s="208" t="s">
        <v>150</v>
      </c>
      <c r="D88" s="195">
        <f>SUMPRODUCT((LEFT(G21:G35, 8)="Roboshot") / (COUNTIF(G21:G35, G21:G35 &amp; "") + (G21:G35="")))</f>
        <v>0</v>
      </c>
      <c r="E88" s="447" t="s">
        <v>90</v>
      </c>
      <c r="F88" s="447"/>
      <c r="G88" s="218">
        <v>0.20833333333333334</v>
      </c>
    </row>
    <row r="89" spans="2:10" x14ac:dyDescent="0.3">
      <c r="C89" s="208"/>
      <c r="D89" s="195"/>
      <c r="E89" s="447" t="s">
        <v>97</v>
      </c>
      <c r="F89" s="447"/>
      <c r="G89" s="195">
        <v>12</v>
      </c>
      <c r="H89" s="219" t="s">
        <v>23</v>
      </c>
    </row>
    <row r="91" spans="2:10" x14ac:dyDescent="0.3">
      <c r="G91" s="222" t="s">
        <v>96</v>
      </c>
      <c r="H91" s="139" t="s">
        <v>23</v>
      </c>
    </row>
    <row r="92" spans="2:10" x14ac:dyDescent="0.3">
      <c r="F92" s="208" t="s">
        <v>77</v>
      </c>
      <c r="G92" s="221">
        <f xml:space="preserve"> SUMIF($G$21:$G$35, +F92,$X$21:$X$35)</f>
        <v>0</v>
      </c>
      <c r="H92" s="220">
        <f>+G92/$G$89</f>
        <v>0</v>
      </c>
    </row>
    <row r="93" spans="2:10" x14ac:dyDescent="0.3">
      <c r="F93" s="208" t="s">
        <v>78</v>
      </c>
      <c r="G93" s="221">
        <f xml:space="preserve"> SUMIF($G$21:$G$35, +F93,$X$21:$X$35)</f>
        <v>0</v>
      </c>
      <c r="H93" s="220">
        <f t="shared" ref="H93:H94" si="14">+G93/$G$89</f>
        <v>0</v>
      </c>
    </row>
    <row r="94" spans="2:10" x14ac:dyDescent="0.3">
      <c r="F94" s="208" t="s">
        <v>79</v>
      </c>
      <c r="G94" s="221">
        <f xml:space="preserve"> SUMIF($G$21:$G$35, +F94,$X$21:$X$35)</f>
        <v>0</v>
      </c>
      <c r="H94" s="220">
        <f t="shared" si="14"/>
        <v>0</v>
      </c>
    </row>
    <row r="95" spans="2:10" x14ac:dyDescent="0.3">
      <c r="F95" s="208" t="s">
        <v>146</v>
      </c>
      <c r="G95" s="223">
        <f>+SUM(G92:G94)</f>
        <v>0</v>
      </c>
      <c r="H95" s="220">
        <f>+G95/$G$89</f>
        <v>0</v>
      </c>
    </row>
  </sheetData>
  <mergeCells count="40">
    <mergeCell ref="E89:F89"/>
    <mergeCell ref="E74:F74"/>
    <mergeCell ref="E75:F75"/>
    <mergeCell ref="E76:F76"/>
    <mergeCell ref="E77:F77"/>
    <mergeCell ref="C87:D87"/>
    <mergeCell ref="E88:F88"/>
    <mergeCell ref="C59:D59"/>
    <mergeCell ref="E60:F60"/>
    <mergeCell ref="E61:F61"/>
    <mergeCell ref="E62:F62"/>
    <mergeCell ref="E63:F63"/>
    <mergeCell ref="C73:D73"/>
    <mergeCell ref="E55:G55"/>
    <mergeCell ref="E41:F41"/>
    <mergeCell ref="E42:F42"/>
    <mergeCell ref="E43:F43"/>
    <mergeCell ref="E46:G46"/>
    <mergeCell ref="E47:G47"/>
    <mergeCell ref="E48:G48"/>
    <mergeCell ref="E49:G49"/>
    <mergeCell ref="E50:G50"/>
    <mergeCell ref="E51:G51"/>
    <mergeCell ref="E53:G53"/>
    <mergeCell ref="E54:G54"/>
    <mergeCell ref="C40:D40"/>
    <mergeCell ref="G40:H40"/>
    <mergeCell ref="I40:J40"/>
    <mergeCell ref="K40:L40"/>
    <mergeCell ref="B1:D4"/>
    <mergeCell ref="E2:R2"/>
    <mergeCell ref="E3:R4"/>
    <mergeCell ref="K6:L6"/>
    <mergeCell ref="K7:L7"/>
    <mergeCell ref="K8:L8"/>
    <mergeCell ref="K9:L9"/>
    <mergeCell ref="K10:L10"/>
    <mergeCell ref="K11:L11"/>
    <mergeCell ref="K12:L12"/>
    <mergeCell ref="B14:S14"/>
  </mergeCells>
  <conditionalFormatting sqref="H42:H43 J42:J43">
    <cfRule type="cellIs" dxfId="671" priority="13" operator="greaterThan">
      <formula>0.9</formula>
    </cfRule>
    <cfRule type="cellIs" dxfId="670" priority="14" operator="between">
      <formula>0.81</formula>
      <formula>0.89</formula>
    </cfRule>
    <cfRule type="cellIs" dxfId="669" priority="15" operator="lessThan">
      <formula>0.8</formula>
    </cfRule>
  </conditionalFormatting>
  <conditionalFormatting sqref="H62:H63">
    <cfRule type="cellIs" dxfId="668" priority="16" operator="greaterThan">
      <formula>0.9</formula>
    </cfRule>
    <cfRule type="cellIs" dxfId="667" priority="17" operator="between">
      <formula>0.81</formula>
      <formula>0.89</formula>
    </cfRule>
    <cfRule type="cellIs" dxfId="666" priority="18" operator="lessThan">
      <formula>0.8</formula>
    </cfRule>
  </conditionalFormatting>
  <conditionalFormatting sqref="H65:H71">
    <cfRule type="cellIs" dxfId="665" priority="19" operator="greaterThan">
      <formula>0.9</formula>
    </cfRule>
    <cfRule type="cellIs" dxfId="664" priority="20" operator="between">
      <formula>0.81</formula>
      <formula>0.89</formula>
    </cfRule>
    <cfRule type="cellIs" dxfId="663" priority="21" operator="lessThan">
      <formula>0.8</formula>
    </cfRule>
  </conditionalFormatting>
  <conditionalFormatting sqref="H76:H77">
    <cfRule type="cellIs" dxfId="662" priority="7" operator="greaterThan">
      <formula>0.9</formula>
    </cfRule>
    <cfRule type="cellIs" dxfId="661" priority="8" operator="between">
      <formula>0.81</formula>
      <formula>0.89</formula>
    </cfRule>
    <cfRule type="cellIs" dxfId="660" priority="9" operator="lessThan">
      <formula>0.8</formula>
    </cfRule>
  </conditionalFormatting>
  <conditionalFormatting sqref="H79:H85">
    <cfRule type="cellIs" dxfId="659" priority="10" operator="greaterThan">
      <formula>0.9</formula>
    </cfRule>
    <cfRule type="cellIs" dxfId="658" priority="11" operator="between">
      <formula>0.81</formula>
      <formula>0.89</formula>
    </cfRule>
    <cfRule type="cellIs" dxfId="657" priority="12" operator="lessThan">
      <formula>0.8</formula>
    </cfRule>
  </conditionalFormatting>
  <conditionalFormatting sqref="H92:H95">
    <cfRule type="cellIs" dxfId="656" priority="4" operator="greaterThan">
      <formula>0.9</formula>
    </cfRule>
    <cfRule type="cellIs" dxfId="655" priority="5" operator="between">
      <formula>0.81</formula>
      <formula>0.89</formula>
    </cfRule>
    <cfRule type="cellIs" dxfId="654" priority="6" operator="lessThan">
      <formula>0.8</formula>
    </cfRule>
  </conditionalFormatting>
  <conditionalFormatting sqref="L42:L43">
    <cfRule type="cellIs" dxfId="653" priority="1" operator="greaterThan">
      <formula>0.9</formula>
    </cfRule>
    <cfRule type="cellIs" dxfId="652" priority="2" operator="between">
      <formula>0.81</formula>
      <formula>0.89</formula>
    </cfRule>
    <cfRule type="cellIs" dxfId="651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CB4B4AA-A35B-4B57-892D-ABE8A84B527F}">
          <x14:formula1>
            <xm:f>Datos!$B$3:$B$8</xm:f>
          </x14:formula1>
          <xm:sqref>E30:E38 E21:E27</xm:sqref>
        </x14:dataValidation>
        <x14:dataValidation type="list" allowBlank="1" showInputMessage="1" showErrorMessage="1" xr:uid="{D3EAD32A-68B3-4082-B181-6DE9BEEFD444}">
          <x14:formula1>
            <xm:f>Datos!$D$3:$D$27</xm:f>
          </x14:formula1>
          <xm:sqref>F30:F38 F21:F27</xm:sqref>
        </x14:dataValidation>
        <x14:dataValidation type="list" allowBlank="1" showInputMessage="1" showErrorMessage="1" xr:uid="{9DB430D3-9F9C-404B-A93D-29B146E6E254}">
          <x14:formula1>
            <xm:f>Datos!$W$3:$W$12</xm:f>
          </x14:formula1>
          <xm:sqref>L30:L38 L21:L27</xm:sqref>
        </x14:dataValidation>
        <x14:dataValidation type="list" allowBlank="1" showInputMessage="1" showErrorMessage="1" xr:uid="{79853351-88A6-4CB3-B826-8FB8FC54D5E4}">
          <x14:formula1>
            <xm:f>Datos!$F$3:$F$41</xm:f>
          </x14:formula1>
          <xm:sqref>G30:G38 G21:G27</xm:sqref>
        </x14:dataValidation>
        <x14:dataValidation type="list" allowBlank="1" showInputMessage="1" showErrorMessage="1" xr:uid="{07A971D5-9B78-41BF-B55C-7529D834B3EC}">
          <x14:formula1>
            <xm:f>Datos!$H$3:$H$26</xm:f>
          </x14:formula1>
          <xm:sqref>D27 D38</xm:sqref>
        </x14:dataValidation>
        <x14:dataValidation type="list" allowBlank="1" showInputMessage="1" showErrorMessage="1" xr:uid="{29480B0D-F187-4CEE-AB7A-4462AAC83F3D}">
          <x14:formula1>
            <xm:f>Datos!$H$3:$H$34</xm:f>
          </x14:formula1>
          <xm:sqref>D30:D37 D21:D26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6AE9-0F21-4663-86E6-0F18E46434C7}">
  <sheetPr>
    <pageSetUpPr fitToPage="1"/>
  </sheetPr>
  <dimension ref="B1:X96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M24" sqref="M2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0.15208333333333338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0.8205128205128206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+G72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+G86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+G96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110</v>
      </c>
      <c r="E21" s="172" t="s">
        <v>6</v>
      </c>
      <c r="F21" s="172" t="s">
        <v>163</v>
      </c>
      <c r="G21" s="172"/>
      <c r="H21" s="174">
        <v>0.80555555555555558</v>
      </c>
      <c r="I21" s="174">
        <v>0.89166666666666672</v>
      </c>
      <c r="J21" s="175">
        <f>I21-H21</f>
        <v>8.6111111111111138E-2</v>
      </c>
      <c r="K21" s="178"/>
      <c r="L21" s="177"/>
      <c r="M21" s="178"/>
      <c r="N21" s="179">
        <v>1</v>
      </c>
      <c r="O21" s="186" t="s">
        <v>426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104</v>
      </c>
      <c r="E22" s="172" t="s">
        <v>6</v>
      </c>
      <c r="F22" s="172" t="s">
        <v>32</v>
      </c>
      <c r="G22" s="172" t="s">
        <v>204</v>
      </c>
      <c r="H22" s="174">
        <v>0.4513888888888889</v>
      </c>
      <c r="I22" s="174">
        <v>0.47916666666666669</v>
      </c>
      <c r="J22" s="175">
        <f>I22-H22</f>
        <v>2.777777777777779E-2</v>
      </c>
      <c r="K22" s="178">
        <v>36</v>
      </c>
      <c r="L22" s="177" t="s">
        <v>128</v>
      </c>
      <c r="M22" s="178"/>
      <c r="N22" s="179">
        <f>K22/(42+36)</f>
        <v>0.46153846153846156</v>
      </c>
      <c r="O22" s="225" t="s">
        <v>421</v>
      </c>
      <c r="P22" s="181"/>
      <c r="Q22" s="174"/>
      <c r="R22" s="172"/>
      <c r="S22" s="175">
        <f t="shared" ref="S22:S27" si="0">+MOD(R22-Q22,1)</f>
        <v>0</v>
      </c>
      <c r="U22" s="182">
        <f>+IFERROR(VLOOKUP(D22,Datos!$R$3:$T$19,3,FALSE), "0")*N22</f>
        <v>0.10373425775593488</v>
      </c>
      <c r="V22" s="183" t="str">
        <f t="shared" ref="V22:V27" si="1">IF(OR(D22="Perforación de Fortificación", D22="Perforación de Avance", D22="Perforación Desquinche"), K22*M22, "")</f>
        <v/>
      </c>
      <c r="W22" s="183">
        <f t="shared" ref="W22:W27" si="2">IF(D22="Extracción de Marina Disparo",K22,"")</f>
        <v>36</v>
      </c>
      <c r="X22" s="183" t="str">
        <f t="shared" ref="X22:X27" si="3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56</v>
      </c>
      <c r="E23" s="172" t="s">
        <v>6</v>
      </c>
      <c r="F23" s="172" t="s">
        <v>33</v>
      </c>
      <c r="G23" s="172" t="s">
        <v>209</v>
      </c>
      <c r="H23" s="174">
        <v>0.13194444444444445</v>
      </c>
      <c r="I23" s="174">
        <v>0.1701388888888889</v>
      </c>
      <c r="J23" s="175">
        <f>I23-H23</f>
        <v>3.8194444444444448E-2</v>
      </c>
      <c r="K23" s="178"/>
      <c r="L23" s="177"/>
      <c r="M23" s="178"/>
      <c r="N23" s="179">
        <v>1</v>
      </c>
      <c r="O23" s="186"/>
      <c r="P23" s="181"/>
      <c r="Q23" s="174"/>
      <c r="R23" s="172"/>
      <c r="S23" s="175">
        <f t="shared" si="0"/>
        <v>0</v>
      </c>
      <c r="U23" s="182">
        <f>+IFERROR(VLOOKUP(D23,Datos!$R$3:$T$19,3,FALSE), "0")*N23</f>
        <v>4.2783799201369072E-2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/>
      <c r="E24" s="172"/>
      <c r="F24" s="172"/>
      <c r="G24" s="172"/>
      <c r="H24" s="174"/>
      <c r="I24" s="174"/>
      <c r="J24" s="175">
        <f t="shared" ref="J24" si="4">MOD(I24-H24, 1)</f>
        <v>0</v>
      </c>
      <c r="K24" s="178"/>
      <c r="L24" s="177"/>
      <c r="M24" s="178"/>
      <c r="N24" s="179"/>
      <c r="O24" s="186"/>
      <c r="P24" s="181"/>
      <c r="Q24" s="174"/>
      <c r="R24" s="174"/>
      <c r="S24" s="175"/>
      <c r="U24" s="182">
        <f>+IFERROR(VLOOKUP(D24,Datos!$R$3:$T$19,3,FALSE), "0")*N24</f>
        <v>0</v>
      </c>
      <c r="V24" s="183" t="str">
        <f t="shared" si="1"/>
        <v/>
      </c>
      <c r="W24" s="183" t="str">
        <f t="shared" si="2"/>
        <v/>
      </c>
      <c r="X24" s="183" t="str">
        <f t="shared" si="3"/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225"/>
      <c r="P25" s="181"/>
      <c r="Q25" s="174"/>
      <c r="R25" s="174"/>
      <c r="S25" s="175"/>
      <c r="U25" s="182">
        <f>+IFERROR(VLOOKUP(D25,Datos!$R$3:$T$19,3,FALSE), "0")*N25</f>
        <v>0</v>
      </c>
      <c r="V25" s="183" t="str">
        <f t="shared" si="1"/>
        <v/>
      </c>
      <c r="W25" s="183" t="str">
        <f t="shared" si="2"/>
        <v/>
      </c>
      <c r="X25" s="183" t="str">
        <f t="shared" si="3"/>
        <v/>
      </c>
    </row>
    <row r="26" spans="2:24" ht="37.75" customHeight="1" x14ac:dyDescent="0.3">
      <c r="B26" s="172">
        <v>3500</v>
      </c>
      <c r="C26" s="173" t="str">
        <f>+Datos!$R$2</f>
        <v>Ciclo Minero 10,0 x 7,2 m
Galería Inyección Principal</v>
      </c>
      <c r="D26" s="173"/>
      <c r="E26" s="172"/>
      <c r="F26" s="172"/>
      <c r="G26" s="172"/>
      <c r="H26" s="174"/>
      <c r="I26" s="174"/>
      <c r="J26" s="175"/>
      <c r="K26" s="178"/>
      <c r="L26" s="177"/>
      <c r="M26" s="178"/>
      <c r="N26" s="179"/>
      <c r="O26" s="186"/>
      <c r="P26" s="181"/>
      <c r="Q26" s="174"/>
      <c r="R26" s="174"/>
      <c r="S26" s="175"/>
      <c r="U26" s="182">
        <f>+IFERROR(VLOOKUP(D26,Datos!$R$3:$T$19,3,FALSE), "0")*N26</f>
        <v>0</v>
      </c>
      <c r="V26" s="183" t="str">
        <f t="shared" si="1"/>
        <v/>
      </c>
      <c r="W26" s="183" t="str">
        <f t="shared" si="2"/>
        <v/>
      </c>
      <c r="X26" s="183" t="str">
        <f t="shared" si="3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MOD(I24-H21, 1)</f>
        <v>0.19444444444444442</v>
      </c>
      <c r="K27" s="178"/>
      <c r="L27" s="177"/>
      <c r="M27" s="178"/>
      <c r="N27" s="179"/>
      <c r="O27" s="186"/>
      <c r="P27" s="172"/>
      <c r="Q27" s="172"/>
      <c r="R27" s="172"/>
      <c r="S27" s="175">
        <f t="shared" si="0"/>
        <v>0</v>
      </c>
      <c r="U27" s="182">
        <f>SUM(U21:U26)</f>
        <v>0.14651805695730397</v>
      </c>
      <c r="V27" s="183" t="str">
        <f t="shared" si="1"/>
        <v/>
      </c>
      <c r="W27" s="183" t="str">
        <f t="shared" si="2"/>
        <v/>
      </c>
      <c r="X27" s="183" t="str">
        <f t="shared" si="3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/>
      <c r="E30" s="172"/>
      <c r="F30" s="172"/>
      <c r="G30" s="172"/>
      <c r="H30" s="174"/>
      <c r="I30" s="174"/>
      <c r="J30" s="175">
        <f>I30-H30</f>
        <v>0</v>
      </c>
      <c r="K30" s="178"/>
      <c r="L30" s="177"/>
      <c r="M30" s="178"/>
      <c r="N30" s="179">
        <v>1</v>
      </c>
      <c r="O30" s="186" t="s">
        <v>425</v>
      </c>
      <c r="P30" s="225"/>
      <c r="Q30" s="174"/>
      <c r="R30" s="174"/>
      <c r="S30" s="175"/>
      <c r="U30" s="187">
        <f>+IFERROR(VLOOKUP(D30,Datos!$R$24:$T$40,3,FALSE), "0")*N30</f>
        <v>0</v>
      </c>
      <c r="V30" s="183" t="str">
        <f t="shared" ref="V30:V38" si="5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8" si="6">IF(OR(D30="Shotcrete", D30="Pre Shotcrete"), K30, "")</f>
        <v/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73"/>
      <c r="Q31" s="174"/>
      <c r="R31" s="174"/>
      <c r="S31" s="175"/>
      <c r="U31" s="187">
        <f>+IFERROR(VLOOKUP(D31,Datos!$R$24:$T$40,3,FALSE), "0")*N31</f>
        <v>0</v>
      </c>
      <c r="V31" s="183" t="str">
        <f t="shared" si="5"/>
        <v/>
      </c>
      <c r="W31" s="183" t="str">
        <f>IF(D31="Extracción de Marina Disparo",K31,"")</f>
        <v/>
      </c>
      <c r="X31" s="183" t="str">
        <f t="shared" si="6"/>
        <v/>
      </c>
    </row>
    <row r="32" spans="2:24" ht="53.4" customHeight="1" x14ac:dyDescent="0.3">
      <c r="B32" s="172">
        <v>3700</v>
      </c>
      <c r="C32" s="173" t="str">
        <f>+C30</f>
        <v>Ciclo Minero 5,2 x 5,6 m
Galería Acceso Portal de Servicio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225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5"/>
        <v/>
      </c>
      <c r="W32" s="183" t="str">
        <f t="shared" ref="W32:W38" si="7">IF(D32="Extracción de Marina Disparo",K32,"")</f>
        <v/>
      </c>
      <c r="X32" s="183" t="str">
        <f t="shared" si="6"/>
        <v/>
      </c>
    </row>
    <row r="33" spans="2:24" ht="38" customHeight="1" x14ac:dyDescent="0.3">
      <c r="B33" s="172">
        <v>3700</v>
      </c>
      <c r="C33" s="173" t="s">
        <v>397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72"/>
      <c r="Q33" s="172"/>
      <c r="R33" s="172"/>
      <c r="S33" s="175"/>
      <c r="U33" s="187">
        <f>+IFERROR(VLOOKUP(D33,Datos!$R$24:$T$40,3,FALSE), "0")*N33</f>
        <v>0</v>
      </c>
      <c r="V33" s="183" t="str">
        <f t="shared" si="5"/>
        <v/>
      </c>
      <c r="W33" s="183" t="str">
        <f t="shared" si="7"/>
        <v/>
      </c>
      <c r="X33" s="183"/>
    </row>
    <row r="34" spans="2:24" ht="38" customHeight="1" x14ac:dyDescent="0.3">
      <c r="B34" s="172">
        <v>3700</v>
      </c>
      <c r="C34" s="173" t="str">
        <f>+C33</f>
        <v>Fróntón Bodega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6"/>
      <c r="P34" s="181"/>
      <c r="Q34" s="174"/>
      <c r="R34" s="174"/>
      <c r="S34" s="175"/>
      <c r="U34" s="187">
        <f>+IFERROR(VLOOKUP(D34,Datos!$R$24:$T$40,3,FALSE), "0")*N34</f>
        <v>0</v>
      </c>
      <c r="V34" s="183" t="str">
        <f t="shared" si="5"/>
        <v/>
      </c>
      <c r="W34" s="183" t="str">
        <f t="shared" si="7"/>
        <v/>
      </c>
      <c r="X34" s="183" t="str">
        <f t="shared" si="6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225"/>
      <c r="P35" s="172"/>
      <c r="Q35" s="172"/>
      <c r="R35" s="172"/>
      <c r="S35" s="175">
        <f t="shared" ref="S35:S38" si="8">+MOD(R35-Q35,1)</f>
        <v>0</v>
      </c>
      <c r="U35" s="187">
        <f>+IFERROR(VLOOKUP(D35,Datos!$R$24:$T$40,3,FALSE), "0")*N35</f>
        <v>0</v>
      </c>
      <c r="V35" s="183" t="str">
        <f t="shared" si="5"/>
        <v/>
      </c>
      <c r="W35" s="183" t="str">
        <f t="shared" si="7"/>
        <v/>
      </c>
      <c r="X35" s="183" t="str">
        <f t="shared" si="6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8"/>
        <v>0</v>
      </c>
      <c r="U36" s="187"/>
      <c r="V36" s="183" t="str">
        <f t="shared" si="5"/>
        <v/>
      </c>
      <c r="W36" s="183" t="str">
        <f t="shared" si="7"/>
        <v/>
      </c>
      <c r="X36" s="183" t="str">
        <f t="shared" si="6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8"/>
        <v>0</v>
      </c>
      <c r="U37" s="187"/>
      <c r="V37" s="183" t="str">
        <f t="shared" si="5"/>
        <v/>
      </c>
      <c r="W37" s="183" t="str">
        <f t="shared" si="7"/>
        <v/>
      </c>
      <c r="X37" s="183" t="str">
        <f t="shared" si="6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 t="s">
        <v>329</v>
      </c>
      <c r="J38" s="175">
        <f>MOD(I30-H30, 1)</f>
        <v>0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8"/>
        <v>0</v>
      </c>
      <c r="U38" s="182">
        <f>SUM(U30:U37)</f>
        <v>0</v>
      </c>
      <c r="V38" s="183" t="str">
        <f t="shared" si="5"/>
        <v/>
      </c>
      <c r="W38" s="183" t="str">
        <f t="shared" si="7"/>
        <v/>
      </c>
      <c r="X38" s="183" t="str">
        <f t="shared" si="6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SUMPRODUCT((LEFT(F21:F35, 1)="C") / (COUNTIF(F21:F35, F21:F35 &amp; "") + (F21:F35="")))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SUMPRODUCT((LEFT(F21:F35, 1)="O") / (COUNTIF(F21:F35, F21:F35 &amp; "") + (F21:F35="")))</f>
        <v>2</v>
      </c>
      <c r="E42" s="448" t="s">
        <v>198</v>
      </c>
      <c r="F42" s="448"/>
      <c r="G42" s="199">
        <f>SUM(J21:J26)</f>
        <v>0.15208333333333338</v>
      </c>
      <c r="H42" s="200">
        <f>+G42*24/($G$41*24)</f>
        <v>0.58400000000000019</v>
      </c>
      <c r="I42" s="199">
        <f>SUM(J30:J35)</f>
        <v>0</v>
      </c>
      <c r="J42" s="200">
        <f>+I42*24/($I$41*24)</f>
        <v>0</v>
      </c>
      <c r="K42" s="201">
        <f>AVERAGE(G42+I42)/2</f>
        <v>7.6041666666666688E-2</v>
      </c>
      <c r="L42" s="200">
        <f>+K42*24/($K$41*24)</f>
        <v>0.29200000000000009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+AVERAGE(N21:N27)</f>
        <v>0.8205128205128206</v>
      </c>
      <c r="I43" s="202"/>
      <c r="J43" s="203">
        <f>+AVERAGE(N30:N35)</f>
        <v>1</v>
      </c>
      <c r="K43" s="204"/>
      <c r="L43" s="203">
        <f>+AVERAGE(N21:N35)</f>
        <v>0.86538461538461542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404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+U38</f>
        <v>0</v>
      </c>
      <c r="I46" s="298">
        <f>+H46*$J$46*$K$46</f>
        <v>0</v>
      </c>
      <c r="J46" s="298">
        <v>6.6</v>
      </c>
      <c r="K46" s="246">
        <v>3.42</v>
      </c>
      <c r="L46" s="344">
        <v>56.080975609756102</v>
      </c>
      <c r="M46" s="344">
        <f>+L46*K46*H46</f>
        <v>0</v>
      </c>
    </row>
    <row r="47" spans="2:24" ht="14.4" customHeight="1" x14ac:dyDescent="0.35">
      <c r="E47" s="445" t="s">
        <v>224</v>
      </c>
      <c r="F47" s="445"/>
      <c r="G47" s="445"/>
      <c r="H47" s="209"/>
      <c r="I47" s="298">
        <f>+J47*K47</f>
        <v>0</v>
      </c>
      <c r="J47" s="298">
        <f>1892/1000000</f>
        <v>1.892E-3</v>
      </c>
      <c r="K47" s="246">
        <f>+((15*4.4)*2.72)*0</f>
        <v>0</v>
      </c>
      <c r="L47" s="346">
        <v>1.6919982016368774E-2</v>
      </c>
      <c r="M47" s="344">
        <f>+L47*K47</f>
        <v>0</v>
      </c>
    </row>
    <row r="48" spans="2:24" ht="14.4" customHeight="1" x14ac:dyDescent="0.35">
      <c r="E48" s="445" t="s">
        <v>359</v>
      </c>
      <c r="F48" s="445"/>
      <c r="G48" s="445"/>
      <c r="H48" s="209"/>
      <c r="I48" s="298">
        <f>+J48*K48</f>
        <v>0</v>
      </c>
      <c r="J48" s="298">
        <v>0.340368</v>
      </c>
      <c r="K48" s="246">
        <v>0</v>
      </c>
      <c r="L48" s="346">
        <v>2.2358937544867188</v>
      </c>
      <c r="M48" s="344">
        <f>+L48*K48</f>
        <v>0</v>
      </c>
    </row>
    <row r="49" spans="2:13" ht="14.4" customHeight="1" x14ac:dyDescent="0.35">
      <c r="E49" s="445" t="s">
        <v>376</v>
      </c>
      <c r="F49" s="445"/>
      <c r="G49" s="445"/>
      <c r="H49" s="209">
        <v>0</v>
      </c>
      <c r="I49" s="298">
        <f>+H49*$J$49*$K$49</f>
        <v>0</v>
      </c>
      <c r="J49" s="298">
        <f>23683234/1000000</f>
        <v>23.683233999999999</v>
      </c>
      <c r="K49" s="226">
        <v>0</v>
      </c>
      <c r="L49" s="346">
        <v>254.98967741935485</v>
      </c>
      <c r="M49" s="344">
        <f>+L49*K49*H49</f>
        <v>0</v>
      </c>
    </row>
    <row r="50" spans="2:13" ht="14.4" customHeight="1" x14ac:dyDescent="0.35">
      <c r="E50" s="445" t="s">
        <v>236</v>
      </c>
      <c r="F50" s="445"/>
      <c r="G50" s="445"/>
      <c r="H50" s="209"/>
      <c r="I50" s="298">
        <f>+J50*K50</f>
        <v>0</v>
      </c>
      <c r="J50" s="298">
        <f>25508/1000000</f>
        <v>2.5507999999999999E-2</v>
      </c>
      <c r="K50" s="246">
        <f>7/(0.05)*0</f>
        <v>0</v>
      </c>
      <c r="L50" s="347" t="s">
        <v>486</v>
      </c>
      <c r="M50" s="349"/>
    </row>
    <row r="51" spans="2:13" ht="14.4" customHeight="1" x14ac:dyDescent="0.35">
      <c r="E51" s="445" t="s">
        <v>427</v>
      </c>
      <c r="F51" s="445"/>
      <c r="G51" s="445"/>
      <c r="H51" s="209"/>
      <c r="I51" s="298">
        <f>(15978411/1000000)/2</f>
        <v>7.9892054999999997</v>
      </c>
      <c r="J51" s="298"/>
      <c r="K51" s="246"/>
      <c r="L51" s="347" t="s">
        <v>486</v>
      </c>
      <c r="M51" s="344"/>
    </row>
    <row r="52" spans="2:13" ht="14.4" customHeight="1" x14ac:dyDescent="0.35">
      <c r="E52" s="445" t="s">
        <v>298</v>
      </c>
      <c r="F52" s="445"/>
      <c r="G52" s="445"/>
      <c r="H52" s="209"/>
      <c r="I52" s="210">
        <f>SUM(I46:I51)</f>
        <v>7.9892054999999997</v>
      </c>
      <c r="J52" s="214"/>
      <c r="K52" s="246"/>
      <c r="L52" s="344"/>
      <c r="M52" s="344"/>
    </row>
    <row r="53" spans="2:13" ht="14.4" customHeight="1" x14ac:dyDescent="0.35">
      <c r="E53" s="227"/>
      <c r="F53" s="227"/>
      <c r="G53" s="227"/>
      <c r="H53" s="209"/>
      <c r="I53" s="210"/>
      <c r="J53" s="214"/>
      <c r="K53" s="246"/>
      <c r="L53" s="344"/>
      <c r="M53" s="344"/>
    </row>
    <row r="54" spans="2:13" ht="14.4" customHeight="1" x14ac:dyDescent="0.35">
      <c r="E54" s="445" t="s">
        <v>175</v>
      </c>
      <c r="F54" s="445"/>
      <c r="G54" s="445"/>
      <c r="H54" s="209">
        <f>+U27</f>
        <v>0.14651805695730397</v>
      </c>
      <c r="I54" s="210">
        <f>+H54*$J$54*$K$54</f>
        <v>5.9128827065689595</v>
      </c>
      <c r="J54" s="211">
        <v>11.8</v>
      </c>
      <c r="K54" s="246">
        <v>3.42</v>
      </c>
      <c r="L54" s="344">
        <v>118.52055555555555</v>
      </c>
      <c r="M54" s="344">
        <f>+L54*K54*H54</f>
        <v>59.389673162490674</v>
      </c>
    </row>
    <row r="55" spans="2:13" ht="14.4" customHeight="1" x14ac:dyDescent="0.35">
      <c r="E55" s="445" t="s">
        <v>225</v>
      </c>
      <c r="F55" s="445"/>
      <c r="G55" s="445"/>
      <c r="H55" s="209"/>
      <c r="I55" s="210">
        <f>+J55*K55</f>
        <v>0</v>
      </c>
      <c r="J55" s="296">
        <f>+J47*0</f>
        <v>0</v>
      </c>
      <c r="K55" s="215">
        <f>+((15*2.8)*2.72)*K26</f>
        <v>0</v>
      </c>
      <c r="L55" s="346">
        <v>1.6919982016368774E-2</v>
      </c>
      <c r="M55" s="344">
        <f>+L55*K55</f>
        <v>0</v>
      </c>
    </row>
    <row r="56" spans="2:13" ht="14.4" customHeight="1" x14ac:dyDescent="0.35">
      <c r="E56" s="445" t="s">
        <v>297</v>
      </c>
      <c r="F56" s="445"/>
      <c r="G56" s="445"/>
      <c r="H56" s="209"/>
      <c r="I56" s="210">
        <f>SUM(I54:I55)</f>
        <v>5.9128827065689595</v>
      </c>
      <c r="J56" s="214"/>
      <c r="K56" s="246"/>
      <c r="L56" s="347"/>
      <c r="M56" s="349"/>
    </row>
    <row r="57" spans="2:13" ht="14.4" customHeight="1" x14ac:dyDescent="0.3">
      <c r="E57" s="227"/>
      <c r="F57" s="227"/>
      <c r="G57" s="227"/>
      <c r="H57" s="209"/>
      <c r="I57" s="210"/>
      <c r="J57" s="214"/>
      <c r="K57" s="246"/>
      <c r="L57" s="213"/>
      <c r="M57" s="352">
        <f>SUM(M46:M56)</f>
        <v>59.389673162490674</v>
      </c>
    </row>
    <row r="58" spans="2:13" ht="14.4" customHeight="1" x14ac:dyDescent="0.3">
      <c r="L58" s="213"/>
    </row>
    <row r="59" spans="2:13" ht="7.75" customHeight="1" thickBot="1" x14ac:dyDescent="0.35"/>
    <row r="60" spans="2:13" ht="30" customHeight="1" thickBot="1" x14ac:dyDescent="0.35">
      <c r="B60" s="191"/>
      <c r="C60" s="446" t="s">
        <v>88</v>
      </c>
      <c r="D60" s="446"/>
      <c r="E60" s="192"/>
      <c r="F60" s="192"/>
      <c r="G60" s="192"/>
      <c r="H60" s="192"/>
      <c r="I60" s="216"/>
      <c r="J60" s="193"/>
    </row>
    <row r="61" spans="2:13" ht="38" customHeight="1" x14ac:dyDescent="0.3">
      <c r="C61" s="217" t="s">
        <v>89</v>
      </c>
      <c r="D61" s="195">
        <f>SUMPRODUCT((LEFT(G21:G35, 5)="Jumbo") / (COUNTIF(G21:G35, G21:G35 &amp; "") + (G21:G35="")))</f>
        <v>0</v>
      </c>
      <c r="E61" s="447" t="s">
        <v>90</v>
      </c>
      <c r="F61" s="447"/>
      <c r="G61" s="218">
        <v>0.20833333333333334</v>
      </c>
      <c r="I61" s="139"/>
      <c r="J61" s="190"/>
    </row>
    <row r="62" spans="2:13" ht="38" customHeight="1" x14ac:dyDescent="0.3">
      <c r="E62" s="447" t="s">
        <v>93</v>
      </c>
      <c r="F62" s="447"/>
      <c r="G62" s="195">
        <f>15000/(60)</f>
        <v>250</v>
      </c>
      <c r="H62" s="219" t="s">
        <v>143</v>
      </c>
      <c r="I62" s="139"/>
      <c r="J62" s="190"/>
    </row>
    <row r="63" spans="2:13" ht="38" customHeight="1" x14ac:dyDescent="0.3">
      <c r="E63" s="448" t="s">
        <v>91</v>
      </c>
      <c r="F63" s="448"/>
      <c r="G63" s="207" t="e">
        <f>+SUM(SUMIF($G$21:$G$35, "Jumbo*", $J$21:$J$35))/SUMPRODUCT((LEFT(G21:G35, 5)="Jumbo") / (COUNTIF(G21:G35, G21:G35 &amp; "") + (G21:G35="")))</f>
        <v>#DIV/0!</v>
      </c>
      <c r="H63" s="220" t="e">
        <f>+G63*24/($G$61*24)</f>
        <v>#DIV/0!</v>
      </c>
      <c r="I63" s="190"/>
      <c r="J63" s="190"/>
    </row>
    <row r="64" spans="2:13" ht="38" customHeight="1" x14ac:dyDescent="0.3">
      <c r="E64" s="448" t="s">
        <v>92</v>
      </c>
      <c r="F64" s="448"/>
      <c r="G64" s="221" t="e">
        <f>+SUM(V21:V35)/D61</f>
        <v>#DIV/0!</v>
      </c>
      <c r="H64" s="220" t="e">
        <f>+G64/G62</f>
        <v>#DIV/0!</v>
      </c>
      <c r="I64" s="190"/>
      <c r="J64" s="190"/>
    </row>
    <row r="65" spans="2:10" ht="38" customHeight="1" x14ac:dyDescent="0.3">
      <c r="G65" s="222" t="s">
        <v>87</v>
      </c>
      <c r="H65" s="139" t="s">
        <v>23</v>
      </c>
    </row>
    <row r="66" spans="2:10" ht="20" customHeight="1" x14ac:dyDescent="0.3">
      <c r="F66" s="208" t="s">
        <v>65</v>
      </c>
      <c r="G66" s="221">
        <f t="shared" ref="G66:G71" si="9" xml:space="preserve"> SUMIF($G$21:$G$35, +F66,$V$21:$V$35)</f>
        <v>0</v>
      </c>
      <c r="H66" s="220">
        <f t="shared" ref="H66:H71" si="10">+G66/$G$62</f>
        <v>0</v>
      </c>
    </row>
    <row r="67" spans="2:10" ht="20" customHeight="1" x14ac:dyDescent="0.3">
      <c r="F67" s="208" t="s">
        <v>66</v>
      </c>
      <c r="G67" s="221">
        <f t="shared" si="9"/>
        <v>0</v>
      </c>
      <c r="H67" s="220">
        <f t="shared" si="10"/>
        <v>0</v>
      </c>
    </row>
    <row r="68" spans="2:10" ht="20" customHeight="1" x14ac:dyDescent="0.3">
      <c r="F68" s="208" t="s">
        <v>67</v>
      </c>
      <c r="G68" s="221">
        <f t="shared" si="9"/>
        <v>0</v>
      </c>
      <c r="H68" s="220">
        <f t="shared" si="10"/>
        <v>0</v>
      </c>
    </row>
    <row r="69" spans="2:10" ht="20" customHeight="1" x14ac:dyDescent="0.3">
      <c r="F69" s="208" t="s">
        <v>68</v>
      </c>
      <c r="G69" s="221">
        <f t="shared" si="9"/>
        <v>0</v>
      </c>
      <c r="H69" s="220">
        <f t="shared" si="10"/>
        <v>0</v>
      </c>
    </row>
    <row r="70" spans="2:10" ht="20" customHeight="1" x14ac:dyDescent="0.3">
      <c r="F70" s="208" t="s">
        <v>69</v>
      </c>
      <c r="G70" s="221">
        <f t="shared" si="9"/>
        <v>0</v>
      </c>
      <c r="H70" s="220">
        <f t="shared" si="10"/>
        <v>0</v>
      </c>
    </row>
    <row r="71" spans="2:10" ht="20" customHeight="1" x14ac:dyDescent="0.3">
      <c r="F71" s="208" t="s">
        <v>70</v>
      </c>
      <c r="G71" s="221">
        <f t="shared" si="9"/>
        <v>0</v>
      </c>
      <c r="H71" s="220">
        <f t="shared" si="10"/>
        <v>0</v>
      </c>
    </row>
    <row r="72" spans="2:10" ht="20" customHeight="1" x14ac:dyDescent="0.3">
      <c r="F72" s="208" t="s">
        <v>146</v>
      </c>
      <c r="G72" s="223">
        <f>+SUM(G66:G71)</f>
        <v>0</v>
      </c>
      <c r="H72" s="220" t="e">
        <f>+G72/($G$62*$D$61)</f>
        <v>#DIV/0!</v>
      </c>
    </row>
    <row r="73" spans="2:10" ht="13.5" thickBot="1" x14ac:dyDescent="0.35"/>
    <row r="74" spans="2:10" ht="30" customHeight="1" thickBot="1" x14ac:dyDescent="0.35">
      <c r="B74" s="191"/>
      <c r="C74" s="446" t="s">
        <v>107</v>
      </c>
      <c r="D74" s="446"/>
      <c r="E74" s="192"/>
      <c r="F74" s="192"/>
      <c r="G74" s="192"/>
      <c r="H74" s="192"/>
      <c r="I74" s="216"/>
      <c r="J74" s="193"/>
    </row>
    <row r="75" spans="2:10" ht="38" customHeight="1" x14ac:dyDescent="0.3">
      <c r="C75" s="208" t="s">
        <v>95</v>
      </c>
      <c r="D75" s="195">
        <f>SUMPRODUCT((LEFT(G21:G35, 5)="Scoop") / (COUNTIF(G21:G35, G21:G35 &amp; "") + (G21:G35="")))</f>
        <v>1</v>
      </c>
      <c r="E75" s="447" t="s">
        <v>90</v>
      </c>
      <c r="F75" s="447"/>
      <c r="G75" s="218">
        <v>0.20833333333333334</v>
      </c>
      <c r="I75" s="139"/>
      <c r="J75" s="190"/>
    </row>
    <row r="76" spans="2:10" ht="38" customHeight="1" x14ac:dyDescent="0.3">
      <c r="C76" s="208" t="s">
        <v>145</v>
      </c>
      <c r="D76" s="195">
        <v>4.9000000000000004</v>
      </c>
      <c r="E76" s="447" t="s">
        <v>97</v>
      </c>
      <c r="F76" s="447"/>
      <c r="G76" s="195">
        <f>15000/(60)</f>
        <v>250</v>
      </c>
      <c r="H76" s="219" t="s">
        <v>23</v>
      </c>
      <c r="I76" s="139"/>
      <c r="J76" s="190"/>
    </row>
    <row r="77" spans="2:10" ht="38" customHeight="1" x14ac:dyDescent="0.3">
      <c r="E77" s="448" t="s">
        <v>98</v>
      </c>
      <c r="F77" s="448"/>
      <c r="G77" s="207">
        <f>+SUM(SUMIF($G$21:$G$35, "Scoop*", $J$21:$J$35))/SUMPRODUCT((LEFT(G21:G35, 5)="Scoop") / (COUNTIF(G21:G35, G21:G35 &amp; "") + (G21:G35="")))</f>
        <v>2.777777777777779E-2</v>
      </c>
      <c r="H77" s="220">
        <f>+G77*24/($G$75*24)</f>
        <v>0.13333333333333339</v>
      </c>
      <c r="I77" s="190"/>
      <c r="J77" s="190"/>
    </row>
    <row r="78" spans="2:10" ht="38" customHeight="1" x14ac:dyDescent="0.3">
      <c r="E78" s="448" t="s">
        <v>99</v>
      </c>
      <c r="F78" s="448"/>
      <c r="G78" s="221">
        <f>+SUM(W21:W35)*D76/D75</f>
        <v>176.4</v>
      </c>
      <c r="H78" s="220">
        <f>+G78/G76</f>
        <v>0.7056</v>
      </c>
      <c r="I78" s="190"/>
      <c r="J78" s="190"/>
    </row>
    <row r="79" spans="2:10" ht="38" customHeight="1" x14ac:dyDescent="0.3">
      <c r="G79" s="222" t="s">
        <v>96</v>
      </c>
      <c r="H79" s="139" t="s">
        <v>23</v>
      </c>
    </row>
    <row r="80" spans="2:10" ht="20" customHeight="1" x14ac:dyDescent="0.3">
      <c r="F80" s="208" t="s">
        <v>71</v>
      </c>
      <c r="G80" s="221">
        <f t="shared" ref="G80:G85" si="11" xml:space="preserve"> SUMIF($G$21:$G$35, +F80,$W$21:$W$35)*$D$76</f>
        <v>0</v>
      </c>
      <c r="H80" s="220">
        <f>+G80/$G$76</f>
        <v>0</v>
      </c>
    </row>
    <row r="81" spans="2:10" ht="20" customHeight="1" x14ac:dyDescent="0.3">
      <c r="F81" s="208" t="s">
        <v>72</v>
      </c>
      <c r="G81" s="221">
        <f t="shared" si="11"/>
        <v>0</v>
      </c>
      <c r="H81" s="220">
        <f t="shared" ref="H81:H86" si="12">+G81/$G$76</f>
        <v>0</v>
      </c>
    </row>
    <row r="82" spans="2:10" ht="20" customHeight="1" x14ac:dyDescent="0.3">
      <c r="F82" s="208" t="s">
        <v>73</v>
      </c>
      <c r="G82" s="221">
        <f t="shared" si="11"/>
        <v>0</v>
      </c>
      <c r="H82" s="220">
        <f t="shared" si="12"/>
        <v>0</v>
      </c>
    </row>
    <row r="83" spans="2:10" ht="20" customHeight="1" x14ac:dyDescent="0.3">
      <c r="F83" s="208" t="s">
        <v>74</v>
      </c>
      <c r="G83" s="221">
        <f t="shared" si="11"/>
        <v>0</v>
      </c>
      <c r="H83" s="220">
        <f t="shared" si="12"/>
        <v>0</v>
      </c>
    </row>
    <row r="84" spans="2:10" ht="20" customHeight="1" x14ac:dyDescent="0.3">
      <c r="F84" s="208" t="s">
        <v>75</v>
      </c>
      <c r="G84" s="221">
        <f t="shared" si="11"/>
        <v>0</v>
      </c>
      <c r="H84" s="220">
        <f t="shared" si="12"/>
        <v>0</v>
      </c>
    </row>
    <row r="85" spans="2:10" ht="20" customHeight="1" x14ac:dyDescent="0.3">
      <c r="F85" s="208" t="s">
        <v>76</v>
      </c>
      <c r="G85" s="221">
        <f t="shared" si="11"/>
        <v>0</v>
      </c>
      <c r="H85" s="220">
        <f t="shared" si="12"/>
        <v>0</v>
      </c>
    </row>
    <row r="86" spans="2:10" ht="20" customHeight="1" x14ac:dyDescent="0.3">
      <c r="F86" s="208" t="s">
        <v>146</v>
      </c>
      <c r="G86" s="223">
        <f>+SUM(G80:G85)</f>
        <v>0</v>
      </c>
      <c r="H86" s="220">
        <f t="shared" si="12"/>
        <v>0</v>
      </c>
    </row>
    <row r="87" spans="2:10" ht="13.5" thickBot="1" x14ac:dyDescent="0.35"/>
    <row r="88" spans="2:10" ht="30" customHeight="1" thickBot="1" x14ac:dyDescent="0.35">
      <c r="B88" s="191"/>
      <c r="C88" s="446" t="s">
        <v>149</v>
      </c>
      <c r="D88" s="446"/>
      <c r="E88" s="192"/>
      <c r="F88" s="192"/>
      <c r="G88" s="192"/>
      <c r="H88" s="192"/>
      <c r="I88" s="216"/>
      <c r="J88" s="193"/>
    </row>
    <row r="89" spans="2:10" ht="25.25" customHeight="1" x14ac:dyDescent="0.3">
      <c r="C89" s="208" t="s">
        <v>150</v>
      </c>
      <c r="D89" s="195">
        <f>SUMPRODUCT((LEFT(G21:G35, 8)="Roboshot") / (COUNTIF(G21:G35, G21:G35 &amp; "") + (G21:G35="")))</f>
        <v>0</v>
      </c>
      <c r="E89" s="447" t="s">
        <v>90</v>
      </c>
      <c r="F89" s="447"/>
      <c r="G89" s="218">
        <v>0.20833333333333334</v>
      </c>
    </row>
    <row r="90" spans="2:10" x14ac:dyDescent="0.3">
      <c r="C90" s="208"/>
      <c r="D90" s="195"/>
      <c r="E90" s="447" t="s">
        <v>97</v>
      </c>
      <c r="F90" s="447"/>
      <c r="G90" s="195">
        <v>12</v>
      </c>
      <c r="H90" s="219" t="s">
        <v>23</v>
      </c>
    </row>
    <row r="92" spans="2:10" x14ac:dyDescent="0.3">
      <c r="G92" s="222" t="s">
        <v>96</v>
      </c>
      <c r="H92" s="139" t="s">
        <v>23</v>
      </c>
    </row>
    <row r="93" spans="2:10" x14ac:dyDescent="0.3">
      <c r="F93" s="208" t="s">
        <v>77</v>
      </c>
      <c r="G93" s="221">
        <f xml:space="preserve"> SUMIF($G$21:$G$35, +F93,$X$21:$X$35)</f>
        <v>0</v>
      </c>
      <c r="H93" s="220">
        <f>+G93/$G$90</f>
        <v>0</v>
      </c>
    </row>
    <row r="94" spans="2:10" x14ac:dyDescent="0.3">
      <c r="F94" s="208" t="s">
        <v>78</v>
      </c>
      <c r="G94" s="221">
        <f xml:space="preserve"> SUMIF($G$21:$G$35, +F94,$X$21:$X$35)</f>
        <v>0</v>
      </c>
      <c r="H94" s="220">
        <f t="shared" ref="H94:H95" si="13">+G94/$G$90</f>
        <v>0</v>
      </c>
    </row>
    <row r="95" spans="2:10" x14ac:dyDescent="0.3">
      <c r="F95" s="208" t="s">
        <v>79</v>
      </c>
      <c r="G95" s="221">
        <f xml:space="preserve"> SUMIF($G$21:$G$35, +F95,$X$21:$X$35)</f>
        <v>0</v>
      </c>
      <c r="H95" s="220">
        <f t="shared" si="13"/>
        <v>0</v>
      </c>
    </row>
    <row r="96" spans="2:10" x14ac:dyDescent="0.3">
      <c r="F96" s="208" t="s">
        <v>146</v>
      </c>
      <c r="G96" s="223">
        <f>+SUM(G93:G95)</f>
        <v>0</v>
      </c>
      <c r="H96" s="220">
        <f>+G96/$G$90</f>
        <v>0</v>
      </c>
    </row>
  </sheetData>
  <mergeCells count="41">
    <mergeCell ref="E90:F90"/>
    <mergeCell ref="E51:G51"/>
    <mergeCell ref="E75:F75"/>
    <mergeCell ref="E76:F76"/>
    <mergeCell ref="E77:F77"/>
    <mergeCell ref="E78:F78"/>
    <mergeCell ref="E56:G56"/>
    <mergeCell ref="C88:D88"/>
    <mergeCell ref="E89:F89"/>
    <mergeCell ref="C60:D60"/>
    <mergeCell ref="E61:F61"/>
    <mergeCell ref="E62:F62"/>
    <mergeCell ref="E63:F63"/>
    <mergeCell ref="E64:F64"/>
    <mergeCell ref="C74:D74"/>
    <mergeCell ref="E49:G49"/>
    <mergeCell ref="E50:G50"/>
    <mergeCell ref="E52:G52"/>
    <mergeCell ref="E54:G54"/>
    <mergeCell ref="E55:G55"/>
    <mergeCell ref="E48:G48"/>
    <mergeCell ref="K9:L9"/>
    <mergeCell ref="K10:L10"/>
    <mergeCell ref="K11:L11"/>
    <mergeCell ref="K12:L12"/>
    <mergeCell ref="B14:S14"/>
    <mergeCell ref="C40:D40"/>
    <mergeCell ref="G40:H40"/>
    <mergeCell ref="I40:J40"/>
    <mergeCell ref="K40:L40"/>
    <mergeCell ref="E41:F41"/>
    <mergeCell ref="E42:F42"/>
    <mergeCell ref="E43:F43"/>
    <mergeCell ref="E46:G46"/>
    <mergeCell ref="E47:G47"/>
    <mergeCell ref="K8:L8"/>
    <mergeCell ref="B1:D4"/>
    <mergeCell ref="E2:R2"/>
    <mergeCell ref="E3:R4"/>
    <mergeCell ref="K6:L6"/>
    <mergeCell ref="K7:L7"/>
  </mergeCells>
  <conditionalFormatting sqref="H42:H43 J42:J43">
    <cfRule type="cellIs" dxfId="650" priority="13" operator="greaterThan">
      <formula>0.9</formula>
    </cfRule>
    <cfRule type="cellIs" dxfId="649" priority="14" operator="between">
      <formula>0.81</formula>
      <formula>0.89</formula>
    </cfRule>
    <cfRule type="cellIs" dxfId="648" priority="15" operator="lessThan">
      <formula>0.8</formula>
    </cfRule>
  </conditionalFormatting>
  <conditionalFormatting sqref="H63:H64">
    <cfRule type="cellIs" dxfId="647" priority="16" operator="greaterThan">
      <formula>0.9</formula>
    </cfRule>
    <cfRule type="cellIs" dxfId="646" priority="17" operator="between">
      <formula>0.81</formula>
      <formula>0.89</formula>
    </cfRule>
    <cfRule type="cellIs" dxfId="645" priority="18" operator="lessThan">
      <formula>0.8</formula>
    </cfRule>
  </conditionalFormatting>
  <conditionalFormatting sqref="H66:H72">
    <cfRule type="cellIs" dxfId="644" priority="19" operator="greaterThan">
      <formula>0.9</formula>
    </cfRule>
    <cfRule type="cellIs" dxfId="643" priority="20" operator="between">
      <formula>0.81</formula>
      <formula>0.89</formula>
    </cfRule>
    <cfRule type="cellIs" dxfId="642" priority="21" operator="lessThan">
      <formula>0.8</formula>
    </cfRule>
  </conditionalFormatting>
  <conditionalFormatting sqref="H77:H78">
    <cfRule type="cellIs" dxfId="641" priority="7" operator="greaterThan">
      <formula>0.9</formula>
    </cfRule>
    <cfRule type="cellIs" dxfId="640" priority="8" operator="between">
      <formula>0.81</formula>
      <formula>0.89</formula>
    </cfRule>
    <cfRule type="cellIs" dxfId="639" priority="9" operator="lessThan">
      <formula>0.8</formula>
    </cfRule>
  </conditionalFormatting>
  <conditionalFormatting sqref="H80:H86">
    <cfRule type="cellIs" dxfId="638" priority="10" operator="greaterThan">
      <formula>0.9</formula>
    </cfRule>
    <cfRule type="cellIs" dxfId="637" priority="11" operator="between">
      <formula>0.81</formula>
      <formula>0.89</formula>
    </cfRule>
    <cfRule type="cellIs" dxfId="636" priority="12" operator="lessThan">
      <formula>0.8</formula>
    </cfRule>
  </conditionalFormatting>
  <conditionalFormatting sqref="H93:H96">
    <cfRule type="cellIs" dxfId="635" priority="4" operator="greaterThan">
      <formula>0.9</formula>
    </cfRule>
    <cfRule type="cellIs" dxfId="634" priority="5" operator="between">
      <formula>0.81</formula>
      <formula>0.89</formula>
    </cfRule>
    <cfRule type="cellIs" dxfId="633" priority="6" operator="lessThan">
      <formula>0.8</formula>
    </cfRule>
  </conditionalFormatting>
  <conditionalFormatting sqref="L42:L43">
    <cfRule type="cellIs" dxfId="632" priority="1" operator="greaterThan">
      <formula>0.9</formula>
    </cfRule>
    <cfRule type="cellIs" dxfId="631" priority="2" operator="between">
      <formula>0.81</formula>
      <formula>0.89</formula>
    </cfRule>
    <cfRule type="cellIs" dxfId="630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725B211-727B-43F8-8637-3AA012722795}">
          <x14:formula1>
            <xm:f>Datos!$F$3:$F$41</xm:f>
          </x14:formula1>
          <xm:sqref>G30:G38 G21:G27</xm:sqref>
        </x14:dataValidation>
        <x14:dataValidation type="list" allowBlank="1" showInputMessage="1" showErrorMessage="1" xr:uid="{1BFCF72B-0C34-4943-8362-D9FBAAB3D373}">
          <x14:formula1>
            <xm:f>Datos!$W$3:$W$12</xm:f>
          </x14:formula1>
          <xm:sqref>L30:L38 L21:L27</xm:sqref>
        </x14:dataValidation>
        <x14:dataValidation type="list" allowBlank="1" showInputMessage="1" showErrorMessage="1" xr:uid="{B6572D15-F4EB-46D5-9407-A230073F3162}">
          <x14:formula1>
            <xm:f>Datos!$D$3:$D$27</xm:f>
          </x14:formula1>
          <xm:sqref>F30:F38 F21:F27</xm:sqref>
        </x14:dataValidation>
        <x14:dataValidation type="list" allowBlank="1" showInputMessage="1" showErrorMessage="1" xr:uid="{60BD9FBB-5987-4180-9C9E-A111E96BE774}">
          <x14:formula1>
            <xm:f>Datos!$B$3:$B$8</xm:f>
          </x14:formula1>
          <xm:sqref>E30:E38 E21:E27</xm:sqref>
        </x14:dataValidation>
        <x14:dataValidation type="list" allowBlank="1" showInputMessage="1" showErrorMessage="1" xr:uid="{5947C00C-9F64-46F1-A40D-318312A0C97A}">
          <x14:formula1>
            <xm:f>Datos!$H$3:$H$34</xm:f>
          </x14:formula1>
          <xm:sqref>D30:D37 D21:D26</xm:sqref>
        </x14:dataValidation>
        <x14:dataValidation type="list" allowBlank="1" showInputMessage="1" showErrorMessage="1" xr:uid="{E2F22EDE-11B6-4EB5-B1C6-3670252F6ED5}">
          <x14:formula1>
            <xm:f>Datos!$H$3:$H$26</xm:f>
          </x14:formula1>
          <xm:sqref>D27 D38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D8A8-0BFB-4BFA-988C-8B3A3FB83C84}">
  <sheetPr>
    <pageSetUpPr fitToPage="1"/>
  </sheetPr>
  <dimension ref="B1:X100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D24" sqref="D2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+G45</f>
        <v>0.61458333333333337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+H46</f>
        <v>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+G76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+G90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+G100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60</v>
      </c>
      <c r="E21" s="172"/>
      <c r="F21" s="172"/>
      <c r="G21" s="172"/>
      <c r="H21" s="174">
        <v>0.36458333333333331</v>
      </c>
      <c r="I21" s="174">
        <v>0.38194444444444442</v>
      </c>
      <c r="J21" s="175">
        <f>I21-H21</f>
        <v>1.7361111111111105E-2</v>
      </c>
      <c r="K21" s="178"/>
      <c r="L21" s="177"/>
      <c r="M21" s="178"/>
      <c r="N21" s="179">
        <v>1</v>
      </c>
      <c r="O21" s="186"/>
      <c r="P21" s="181"/>
      <c r="Q21" s="174"/>
      <c r="R21" s="174"/>
      <c r="S21" s="175">
        <f>+MOD(R21-Q21,1)</f>
        <v>0</v>
      </c>
      <c r="U21" s="182">
        <f>+IFERROR(VLOOKUP(D21,Datos!$R$3:$T$19,3,FALSE), "0")*N21</f>
        <v>1.1409013120365085E-2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57</v>
      </c>
      <c r="E22" s="172"/>
      <c r="F22" s="172"/>
      <c r="G22" s="172"/>
      <c r="H22" s="174">
        <v>0.40972222222222221</v>
      </c>
      <c r="I22" s="174">
        <v>0.52083333333333337</v>
      </c>
      <c r="J22" s="175">
        <f>I22-H22</f>
        <v>0.11111111111111116</v>
      </c>
      <c r="K22" s="178">
        <v>45</v>
      </c>
      <c r="L22" s="177" t="s">
        <v>125</v>
      </c>
      <c r="M22" s="178">
        <v>4</v>
      </c>
      <c r="N22" s="179">
        <v>1</v>
      </c>
      <c r="O22" s="225"/>
      <c r="P22" s="181"/>
      <c r="Q22" s="174"/>
      <c r="R22" s="172"/>
      <c r="S22" s="175">
        <f t="shared" ref="S22:S30" si="0">+MOD(R22-Q22,1)</f>
        <v>0</v>
      </c>
      <c r="U22" s="182">
        <f>+IFERROR(VLOOKUP(D22,Datos!$R$3:$T$19,3,FALSE), "0")*N22</f>
        <v>8.6138049058756397E-2</v>
      </c>
      <c r="V22" s="183">
        <f t="shared" ref="V22:V30" si="1">IF(OR(D22="Perforación de Fortificación", D22="Perforación de Avance", D22="Perforación Desquinche"), K22*M22, "")</f>
        <v>180</v>
      </c>
      <c r="W22" s="183" t="str">
        <f t="shared" ref="W22:W30" si="2">IF(D22="Extracción de Marina Disparo",K22,"")</f>
        <v/>
      </c>
      <c r="X22" s="183" t="str">
        <f t="shared" ref="X22:X30" si="3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51</v>
      </c>
      <c r="E23" s="172"/>
      <c r="F23" s="172"/>
      <c r="G23" s="172"/>
      <c r="H23" s="174">
        <v>0.58333333333333337</v>
      </c>
      <c r="I23" s="174">
        <v>0.59375</v>
      </c>
      <c r="J23" s="175">
        <f>I23-H23</f>
        <v>1.041666666666663E-2</v>
      </c>
      <c r="K23" s="178"/>
      <c r="L23" s="177"/>
      <c r="M23" s="178"/>
      <c r="N23" s="179">
        <v>1</v>
      </c>
      <c r="O23" s="186" t="s">
        <v>429</v>
      </c>
      <c r="P23" s="181"/>
      <c r="Q23" s="174"/>
      <c r="R23" s="172"/>
      <c r="S23" s="175">
        <f t="shared" si="0"/>
        <v>0</v>
      </c>
      <c r="U23" s="182">
        <f>+IFERROR(VLOOKUP(D23,Datos!$R$3:$T$19,3,FALSE), "0")*N23</f>
        <v>3.4227039361095259E-2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54</v>
      </c>
      <c r="E24" s="172"/>
      <c r="F24" s="172"/>
      <c r="G24" s="172"/>
      <c r="H24" s="174">
        <v>0.61805555555555558</v>
      </c>
      <c r="I24" s="174">
        <v>0.78472222222222221</v>
      </c>
      <c r="J24" s="175">
        <f>I24-H24</f>
        <v>0.16666666666666663</v>
      </c>
      <c r="K24" s="178">
        <v>45</v>
      </c>
      <c r="L24" s="177" t="s">
        <v>125</v>
      </c>
      <c r="M24" s="178">
        <v>4</v>
      </c>
      <c r="N24" s="179">
        <v>1</v>
      </c>
      <c r="O24" s="186"/>
      <c r="P24" s="181"/>
      <c r="Q24" s="174"/>
      <c r="R24" s="174"/>
      <c r="S24" s="175"/>
      <c r="U24" s="182">
        <f>+IFERROR(VLOOKUP(D24,Datos!$R$3:$T$19,3,FALSE), "0")*N24</f>
        <v>0.17798060467769536</v>
      </c>
      <c r="V24" s="183" t="str">
        <f t="shared" si="1"/>
        <v/>
      </c>
      <c r="W24" s="183" t="str">
        <f t="shared" si="2"/>
        <v/>
      </c>
      <c r="X24" s="183" t="str">
        <f t="shared" si="3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225"/>
      <c r="P25" s="181"/>
      <c r="Q25" s="174"/>
      <c r="R25" s="174"/>
      <c r="S25" s="175"/>
      <c r="U25" s="182">
        <f>+IFERROR(VLOOKUP(D25,Datos!$R$3:$T$19,3,FALSE), "0")*N25</f>
        <v>0</v>
      </c>
      <c r="V25" s="183" t="str">
        <f t="shared" si="1"/>
        <v/>
      </c>
      <c r="W25" s="183" t="str">
        <f t="shared" si="2"/>
        <v/>
      </c>
      <c r="X25" s="183" t="str">
        <f t="shared" si="3"/>
        <v/>
      </c>
    </row>
    <row r="26" spans="2:24" ht="38" customHeight="1" x14ac:dyDescent="0.3">
      <c r="B26" s="172"/>
      <c r="C26" s="173"/>
      <c r="D26" s="173" t="s">
        <v>110</v>
      </c>
      <c r="E26" s="172"/>
      <c r="F26" s="172"/>
      <c r="G26" s="172" t="s">
        <v>206</v>
      </c>
      <c r="H26" s="174">
        <v>0.35416666666666669</v>
      </c>
      <c r="I26" s="174">
        <v>0.375</v>
      </c>
      <c r="J26" s="175">
        <f>I26-H26</f>
        <v>2.0833333333333315E-2</v>
      </c>
      <c r="K26" s="178"/>
      <c r="L26" s="177"/>
      <c r="M26" s="178"/>
      <c r="N26" s="179"/>
      <c r="O26" s="186" t="s">
        <v>430</v>
      </c>
      <c r="P26" s="181"/>
      <c r="Q26" s="174"/>
      <c r="R26" s="174"/>
      <c r="S26" s="175"/>
      <c r="U26" s="182">
        <f>+IFERROR(VLOOKUP(D26,Datos!$R$3:$T$19,3,FALSE), "0")*N26</f>
        <v>0</v>
      </c>
      <c r="V26" s="183"/>
      <c r="W26" s="183"/>
      <c r="X26" s="183"/>
    </row>
    <row r="27" spans="2:24" ht="38" customHeight="1" x14ac:dyDescent="0.3">
      <c r="B27" s="172"/>
      <c r="C27" s="173"/>
      <c r="D27" s="173" t="s">
        <v>110</v>
      </c>
      <c r="E27" s="172"/>
      <c r="F27" s="172"/>
      <c r="G27" s="172" t="s">
        <v>206</v>
      </c>
      <c r="H27" s="174">
        <v>0.65277777777777779</v>
      </c>
      <c r="I27" s="174">
        <v>0.73611111111111116</v>
      </c>
      <c r="J27" s="175">
        <f>I27-H27</f>
        <v>8.333333333333337E-2</v>
      </c>
      <c r="K27" s="178"/>
      <c r="L27" s="177"/>
      <c r="M27" s="178"/>
      <c r="N27" s="179"/>
      <c r="O27" s="186" t="s">
        <v>430</v>
      </c>
      <c r="P27" s="181"/>
      <c r="Q27" s="174"/>
      <c r="R27" s="174"/>
      <c r="S27" s="175"/>
      <c r="U27" s="182">
        <f>+IFERROR(VLOOKUP(D27,Datos!$R$3:$T$19,3,FALSE), "0")*N27</f>
        <v>0</v>
      </c>
      <c r="V27" s="183"/>
      <c r="W27" s="183"/>
      <c r="X27" s="183"/>
    </row>
    <row r="28" spans="2:24" ht="38" customHeight="1" x14ac:dyDescent="0.3">
      <c r="B28" s="172"/>
      <c r="C28" s="173"/>
      <c r="D28" s="173" t="s">
        <v>105</v>
      </c>
      <c r="E28" s="172"/>
      <c r="F28" s="172"/>
      <c r="G28" s="172" t="s">
        <v>204</v>
      </c>
      <c r="H28" s="174">
        <v>0.4375</v>
      </c>
      <c r="I28" s="174">
        <v>0.55902777777777779</v>
      </c>
      <c r="J28" s="175">
        <f>I28-H28</f>
        <v>0.12152777777777779</v>
      </c>
      <c r="K28" s="178">
        <v>40</v>
      </c>
      <c r="L28" s="177" t="s">
        <v>128</v>
      </c>
      <c r="M28" s="178"/>
      <c r="N28" s="179"/>
      <c r="O28" s="186" t="s">
        <v>431</v>
      </c>
      <c r="P28" s="181"/>
      <c r="Q28" s="174"/>
      <c r="R28" s="174"/>
      <c r="S28" s="175"/>
      <c r="U28" s="182">
        <f>+IFERROR(VLOOKUP(D28,Datos!$R$3:$T$19,3,FALSE), "0")*N28</f>
        <v>0</v>
      </c>
      <c r="V28" s="183"/>
      <c r="W28" s="183"/>
      <c r="X28" s="183"/>
    </row>
    <row r="29" spans="2:24" ht="37.75" customHeight="1" x14ac:dyDescent="0.3">
      <c r="B29" s="172"/>
      <c r="C29" s="173"/>
      <c r="D29" s="173" t="s">
        <v>110</v>
      </c>
      <c r="E29" s="172"/>
      <c r="F29" s="172"/>
      <c r="G29" s="172"/>
      <c r="H29" s="174">
        <v>0.75</v>
      </c>
      <c r="I29" s="174">
        <v>0.83333333333333337</v>
      </c>
      <c r="J29" s="175">
        <f>I29-H29</f>
        <v>8.333333333333337E-2</v>
      </c>
      <c r="K29" s="178"/>
      <c r="L29" s="177"/>
      <c r="M29" s="178"/>
      <c r="N29" s="179"/>
      <c r="O29" s="186" t="s">
        <v>432</v>
      </c>
      <c r="P29" s="181"/>
      <c r="Q29" s="174"/>
      <c r="R29" s="174"/>
      <c r="S29" s="175"/>
      <c r="U29" s="182">
        <f>+IFERROR(VLOOKUP(D29,Datos!$R$3:$T$19,3,FALSE), "0")*N29</f>
        <v>0</v>
      </c>
      <c r="V29" s="183" t="str">
        <f t="shared" si="1"/>
        <v/>
      </c>
      <c r="W29" s="183" t="str">
        <f t="shared" si="2"/>
        <v/>
      </c>
      <c r="X29" s="183" t="str">
        <f t="shared" si="3"/>
        <v/>
      </c>
    </row>
    <row r="30" spans="2:24" ht="38" customHeight="1" x14ac:dyDescent="0.3">
      <c r="B30" s="172"/>
      <c r="C30" s="173"/>
      <c r="D30" s="173"/>
      <c r="E30" s="172"/>
      <c r="F30" s="172"/>
      <c r="G30" s="172"/>
      <c r="H30" s="174"/>
      <c r="I30" s="174" t="s">
        <v>329</v>
      </c>
      <c r="J30" s="175">
        <f>MOD(I24-H21, 1)</f>
        <v>0.4201388888888889</v>
      </c>
      <c r="K30" s="178"/>
      <c r="L30" s="177"/>
      <c r="M30" s="178"/>
      <c r="N30" s="179"/>
      <c r="O30" s="186"/>
      <c r="P30" s="172"/>
      <c r="Q30" s="172"/>
      <c r="R30" s="172"/>
      <c r="S30" s="175">
        <f t="shared" si="0"/>
        <v>0</v>
      </c>
      <c r="U30" s="182">
        <f>SUM(U21:U29)</f>
        <v>0.30975470621791212</v>
      </c>
      <c r="V30" s="183" t="str">
        <f t="shared" si="1"/>
        <v/>
      </c>
      <c r="W30" s="183" t="str">
        <f t="shared" si="2"/>
        <v/>
      </c>
      <c r="X30" s="183" t="str">
        <f t="shared" si="3"/>
        <v/>
      </c>
    </row>
    <row r="31" spans="2:24" x14ac:dyDescent="0.3">
      <c r="B31" s="185" t="s">
        <v>158</v>
      </c>
      <c r="C31" s="63" t="s">
        <v>194</v>
      </c>
      <c r="D31" s="63"/>
      <c r="E31" s="63"/>
      <c r="F31" s="63"/>
      <c r="G31" s="63"/>
      <c r="H31" s="63"/>
      <c r="I31" s="63"/>
      <c r="J31" s="64"/>
      <c r="K31" s="64"/>
      <c r="L31" s="171"/>
      <c r="M31" s="63"/>
      <c r="N31" s="64"/>
      <c r="O31" s="64"/>
      <c r="P31" s="63"/>
      <c r="Q31" s="63"/>
      <c r="R31" s="63"/>
      <c r="S31" s="64"/>
      <c r="U31" s="63"/>
      <c r="V31" s="64"/>
      <c r="W31" s="64"/>
      <c r="X31" s="64"/>
    </row>
    <row r="32" spans="2:24" ht="52" x14ac:dyDescent="0.3">
      <c r="B32" s="63" t="s">
        <v>3</v>
      </c>
      <c r="C32" s="63" t="s">
        <v>2</v>
      </c>
      <c r="D32" s="63" t="s">
        <v>5</v>
      </c>
      <c r="E32" s="63" t="s">
        <v>22</v>
      </c>
      <c r="F32" s="63" t="s">
        <v>139</v>
      </c>
      <c r="G32" s="63" t="s">
        <v>29</v>
      </c>
      <c r="H32" s="63" t="s">
        <v>121</v>
      </c>
      <c r="I32" s="63" t="s">
        <v>4</v>
      </c>
      <c r="J32" s="64" t="s">
        <v>122</v>
      </c>
      <c r="K32" s="64" t="s">
        <v>131</v>
      </c>
      <c r="L32" s="171" t="s">
        <v>123</v>
      </c>
      <c r="M32" s="63" t="s">
        <v>134</v>
      </c>
      <c r="N32" s="64" t="s">
        <v>24</v>
      </c>
      <c r="O32" s="64" t="s">
        <v>130</v>
      </c>
      <c r="P32" s="63" t="s">
        <v>132</v>
      </c>
      <c r="Q32" s="63" t="s">
        <v>121</v>
      </c>
      <c r="R32" s="63" t="s">
        <v>4</v>
      </c>
      <c r="S32" s="64" t="s">
        <v>137</v>
      </c>
      <c r="U32" s="63" t="s">
        <v>109</v>
      </c>
      <c r="V32" s="64" t="s">
        <v>87</v>
      </c>
      <c r="W32" s="64" t="s">
        <v>128</v>
      </c>
      <c r="X32" s="64" t="s">
        <v>128</v>
      </c>
    </row>
    <row r="33" spans="2:24" ht="38" customHeight="1" x14ac:dyDescent="0.3">
      <c r="B33" s="172">
        <v>3700</v>
      </c>
      <c r="C33" s="173" t="str">
        <f>+Datos!$R$23</f>
        <v>Ciclo Minero 5,2 x 5,6 m
Galería Acceso Portal de Servicio</v>
      </c>
      <c r="D33" s="173" t="s">
        <v>110</v>
      </c>
      <c r="E33" s="172"/>
      <c r="F33" s="172"/>
      <c r="G33" s="172"/>
      <c r="H33" s="174">
        <v>0.33333333333333331</v>
      </c>
      <c r="I33" s="174">
        <v>0.83333333333333337</v>
      </c>
      <c r="J33" s="175">
        <f>I33-H33</f>
        <v>0.5</v>
      </c>
      <c r="K33" s="178"/>
      <c r="L33" s="177"/>
      <c r="M33" s="178"/>
      <c r="N33" s="179">
        <v>1</v>
      </c>
      <c r="O33" s="186" t="s">
        <v>428</v>
      </c>
      <c r="P33" s="225"/>
      <c r="Q33" s="174"/>
      <c r="R33" s="174"/>
      <c r="S33" s="175"/>
      <c r="U33" s="187">
        <f>+IFERROR(VLOOKUP(D33,Datos!$R$24:$T$40,3,FALSE), "0")*N33</f>
        <v>0</v>
      </c>
      <c r="V33" s="183" t="str">
        <f t="shared" ref="V33:V41" si="4">IF(OR(D33="Perforación de Fortificación", D33="Perforación de Avance", D33="Perforación Desquinche"), K33*M33, "")</f>
        <v/>
      </c>
      <c r="W33" s="183" t="str">
        <f>IF(D33="Extracción de Marina Disparo",K33,"")</f>
        <v/>
      </c>
      <c r="X33" s="183" t="str">
        <f t="shared" ref="X33:X41" si="5">IF(OR(D33="Shotcrete", D33="Pre Shotcrete"), K33, "")</f>
        <v/>
      </c>
    </row>
    <row r="34" spans="2:24" ht="38" customHeight="1" x14ac:dyDescent="0.3">
      <c r="B34" s="172">
        <v>3700</v>
      </c>
      <c r="C34" s="173" t="str">
        <f>+Datos!$R$23</f>
        <v>Ciclo Minero 5,2 x 5,6 m
Galería Acceso Portal de Servicio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225"/>
      <c r="P34" s="173"/>
      <c r="Q34" s="174"/>
      <c r="R34" s="174"/>
      <c r="S34" s="175"/>
      <c r="U34" s="187">
        <f>+IFERROR(VLOOKUP(D34,Datos!$R$24:$T$40,3,FALSE), "0")*N34</f>
        <v>0</v>
      </c>
      <c r="V34" s="183" t="str">
        <f t="shared" si="4"/>
        <v/>
      </c>
      <c r="W34" s="183" t="str">
        <f>IF(D34="Extracción de Marina Disparo",K34,"")</f>
        <v/>
      </c>
      <c r="X34" s="183" t="str">
        <f t="shared" si="5"/>
        <v/>
      </c>
    </row>
    <row r="35" spans="2:24" ht="53.4" customHeight="1" x14ac:dyDescent="0.3">
      <c r="B35" s="172">
        <v>3700</v>
      </c>
      <c r="C35" s="173" t="str">
        <f>+C33</f>
        <v>Ciclo Minero 5,2 x 5,6 m
Galería Acceso Portal de Servicio</v>
      </c>
      <c r="D35" s="173"/>
      <c r="E35" s="172"/>
      <c r="F35" s="172"/>
      <c r="G35" s="172"/>
      <c r="H35" s="174"/>
      <c r="I35" s="174"/>
      <c r="J35" s="175"/>
      <c r="K35" s="178"/>
      <c r="L35" s="177"/>
      <c r="M35" s="178"/>
      <c r="N35" s="179"/>
      <c r="O35" s="225"/>
      <c r="P35" s="181"/>
      <c r="Q35" s="174"/>
      <c r="R35" s="174"/>
      <c r="S35" s="175"/>
      <c r="U35" s="187">
        <f>+IFERROR(VLOOKUP(D35,Datos!$R$24:$T$40,3,FALSE), "0")*N35</f>
        <v>0</v>
      </c>
      <c r="V35" s="183" t="str">
        <f t="shared" si="4"/>
        <v/>
      </c>
      <c r="W35" s="183" t="str">
        <f t="shared" ref="W35:W41" si="6">IF(D35="Extracción de Marina Disparo",K35,"")</f>
        <v/>
      </c>
      <c r="X35" s="183" t="str">
        <f t="shared" si="5"/>
        <v/>
      </c>
    </row>
    <row r="36" spans="2:24" ht="38" customHeight="1" x14ac:dyDescent="0.3">
      <c r="B36" s="172">
        <v>3700</v>
      </c>
      <c r="C36" s="173" t="s">
        <v>397</v>
      </c>
      <c r="D36" s="173"/>
      <c r="E36" s="172"/>
      <c r="F36" s="172"/>
      <c r="G36" s="172"/>
      <c r="H36" s="174"/>
      <c r="I36" s="174"/>
      <c r="J36" s="175"/>
      <c r="K36" s="178"/>
      <c r="L36" s="177"/>
      <c r="M36" s="178"/>
      <c r="N36" s="179"/>
      <c r="O36" s="186"/>
      <c r="P36" s="172"/>
      <c r="Q36" s="172"/>
      <c r="R36" s="172"/>
      <c r="S36" s="175"/>
      <c r="U36" s="187">
        <f>+IFERROR(VLOOKUP(D36,Datos!$R$24:$T$40,3,FALSE), "0")*N36</f>
        <v>0</v>
      </c>
      <c r="V36" s="183" t="str">
        <f t="shared" si="4"/>
        <v/>
      </c>
      <c r="W36" s="183" t="str">
        <f t="shared" si="6"/>
        <v/>
      </c>
      <c r="X36" s="183"/>
    </row>
    <row r="37" spans="2:24" ht="38" customHeight="1" x14ac:dyDescent="0.3">
      <c r="B37" s="172">
        <v>3700</v>
      </c>
      <c r="C37" s="173" t="str">
        <f>+C36</f>
        <v>Fróntón Bodega</v>
      </c>
      <c r="D37" s="173"/>
      <c r="E37" s="172"/>
      <c r="F37" s="172"/>
      <c r="G37" s="172"/>
      <c r="H37" s="174"/>
      <c r="I37" s="174"/>
      <c r="J37" s="175"/>
      <c r="K37" s="178"/>
      <c r="L37" s="177"/>
      <c r="M37" s="178"/>
      <c r="N37" s="179"/>
      <c r="O37" s="186"/>
      <c r="P37" s="181"/>
      <c r="Q37" s="174"/>
      <c r="R37" s="174"/>
      <c r="S37" s="175"/>
      <c r="U37" s="187">
        <f>+IFERROR(VLOOKUP(D37,Datos!$R$24:$T$40,3,FALSE), "0")*N37</f>
        <v>0</v>
      </c>
      <c r="V37" s="183" t="str">
        <f t="shared" si="4"/>
        <v/>
      </c>
      <c r="W37" s="183" t="str">
        <f t="shared" si="6"/>
        <v/>
      </c>
      <c r="X37" s="183" t="str">
        <f t="shared" si="5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/>
      <c r="J38" s="175">
        <f>MOD(I38-H38, 1)</f>
        <v>0</v>
      </c>
      <c r="K38" s="178"/>
      <c r="L38" s="177"/>
      <c r="M38" s="178"/>
      <c r="N38" s="179"/>
      <c r="O38" s="225"/>
      <c r="P38" s="172"/>
      <c r="Q38" s="172"/>
      <c r="R38" s="172"/>
      <c r="S38" s="175">
        <f t="shared" ref="S38:S41" si="7">+MOD(R38-Q38,1)</f>
        <v>0</v>
      </c>
      <c r="U38" s="187">
        <f>+IFERROR(VLOOKUP(D38,Datos!$R$24:$T$40,3,FALSE), "0")*N38</f>
        <v>0</v>
      </c>
      <c r="V38" s="183" t="str">
        <f t="shared" si="4"/>
        <v/>
      </c>
      <c r="W38" s="183" t="str">
        <f t="shared" si="6"/>
        <v/>
      </c>
      <c r="X38" s="183" t="str">
        <f t="shared" si="5"/>
        <v/>
      </c>
    </row>
    <row r="39" spans="2:24" ht="38" customHeight="1" x14ac:dyDescent="0.3">
      <c r="B39" s="172"/>
      <c r="C39" s="173"/>
      <c r="D39" s="173"/>
      <c r="E39" s="172"/>
      <c r="F39" s="172"/>
      <c r="G39" s="172"/>
      <c r="H39" s="174"/>
      <c r="I39" s="174"/>
      <c r="J39" s="175">
        <f>MOD(I39-H39, 1)</f>
        <v>0</v>
      </c>
      <c r="K39" s="178"/>
      <c r="L39" s="177"/>
      <c r="M39" s="178"/>
      <c r="N39" s="179"/>
      <c r="O39" s="186"/>
      <c r="P39" s="172"/>
      <c r="Q39" s="172"/>
      <c r="R39" s="172"/>
      <c r="S39" s="175">
        <f t="shared" si="7"/>
        <v>0</v>
      </c>
      <c r="U39" s="187"/>
      <c r="V39" s="183" t="str">
        <f t="shared" si="4"/>
        <v/>
      </c>
      <c r="W39" s="183" t="str">
        <f t="shared" si="6"/>
        <v/>
      </c>
      <c r="X39" s="183" t="str">
        <f t="shared" si="5"/>
        <v/>
      </c>
    </row>
    <row r="40" spans="2:24" ht="38" customHeight="1" x14ac:dyDescent="0.3">
      <c r="B40" s="172"/>
      <c r="C40" s="173"/>
      <c r="D40" s="173"/>
      <c r="E40" s="172"/>
      <c r="F40" s="172"/>
      <c r="G40" s="172"/>
      <c r="H40" s="174"/>
      <c r="I40" s="174"/>
      <c r="J40" s="175">
        <f>MOD(I40-H40, 1)</f>
        <v>0</v>
      </c>
      <c r="K40" s="178"/>
      <c r="L40" s="177"/>
      <c r="M40" s="178"/>
      <c r="N40" s="179"/>
      <c r="O40" s="186"/>
      <c r="P40" s="172"/>
      <c r="Q40" s="172"/>
      <c r="R40" s="172"/>
      <c r="S40" s="175">
        <f t="shared" si="7"/>
        <v>0</v>
      </c>
      <c r="U40" s="187"/>
      <c r="V40" s="183" t="str">
        <f t="shared" si="4"/>
        <v/>
      </c>
      <c r="W40" s="183" t="str">
        <f t="shared" si="6"/>
        <v/>
      </c>
      <c r="X40" s="183" t="str">
        <f t="shared" si="5"/>
        <v/>
      </c>
    </row>
    <row r="41" spans="2:24" ht="38" customHeight="1" x14ac:dyDescent="0.3">
      <c r="B41" s="172"/>
      <c r="C41" s="173"/>
      <c r="D41" s="173"/>
      <c r="E41" s="172"/>
      <c r="F41" s="172"/>
      <c r="G41" s="172"/>
      <c r="H41" s="174"/>
      <c r="I41" s="174" t="s">
        <v>329</v>
      </c>
      <c r="J41" s="175">
        <v>0</v>
      </c>
      <c r="K41" s="178"/>
      <c r="L41" s="177"/>
      <c r="M41" s="178"/>
      <c r="N41" s="179"/>
      <c r="O41" s="186"/>
      <c r="P41" s="172"/>
      <c r="Q41" s="172"/>
      <c r="R41" s="172"/>
      <c r="S41" s="175">
        <f t="shared" si="7"/>
        <v>0</v>
      </c>
      <c r="U41" s="182">
        <f>SUM(U33:U40)</f>
        <v>0</v>
      </c>
      <c r="V41" s="183" t="str">
        <f t="shared" si="4"/>
        <v/>
      </c>
      <c r="W41" s="183" t="str">
        <f t="shared" si="6"/>
        <v/>
      </c>
      <c r="X41" s="183" t="str">
        <f t="shared" si="5"/>
        <v/>
      </c>
    </row>
    <row r="42" spans="2:24" ht="15.65" customHeight="1" thickBot="1" x14ac:dyDescent="0.35">
      <c r="B42" s="190"/>
      <c r="C42" s="190"/>
      <c r="D42" s="190"/>
      <c r="E42" s="190"/>
      <c r="F42" s="190"/>
      <c r="G42" s="190"/>
      <c r="H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</row>
    <row r="43" spans="2:24" ht="30" customHeight="1" thickBot="1" x14ac:dyDescent="0.35">
      <c r="B43" s="191"/>
      <c r="C43" s="446" t="s">
        <v>64</v>
      </c>
      <c r="D43" s="446"/>
      <c r="E43" s="192"/>
      <c r="F43" s="192"/>
      <c r="G43" s="431">
        <v>3500</v>
      </c>
      <c r="H43" s="432"/>
      <c r="I43" s="431">
        <v>3700</v>
      </c>
      <c r="J43" s="432"/>
      <c r="K43" s="433" t="s">
        <v>146</v>
      </c>
      <c r="L43" s="434"/>
      <c r="M43" s="190"/>
      <c r="N43" s="190"/>
      <c r="O43" s="190"/>
      <c r="P43" s="190"/>
      <c r="Q43" s="190"/>
      <c r="R43" s="190"/>
      <c r="S43" s="190"/>
    </row>
    <row r="44" spans="2:24" ht="30" customHeight="1" x14ac:dyDescent="0.3">
      <c r="C44" s="194" t="s">
        <v>48</v>
      </c>
      <c r="D44" s="195">
        <f>SUMPRODUCT((LEFT(F21:F38, 1)="C") / (COUNTIF(F21:F38, F21:F38 &amp; "") + (F21:F38="")))</f>
        <v>0</v>
      </c>
      <c r="E44" s="447" t="s">
        <v>90</v>
      </c>
      <c r="F44" s="447"/>
      <c r="G44" s="196">
        <v>0.26041666666666669</v>
      </c>
      <c r="H44" s="197" t="s">
        <v>23</v>
      </c>
      <c r="I44" s="196">
        <v>0.26041666666666669</v>
      </c>
      <c r="J44" s="197" t="s">
        <v>23</v>
      </c>
      <c r="K44" s="198">
        <f>+G44</f>
        <v>0.26041666666666669</v>
      </c>
      <c r="L44" s="197" t="s">
        <v>23</v>
      </c>
      <c r="M44" s="190"/>
      <c r="N44" s="190"/>
      <c r="O44" s="190"/>
      <c r="P44" s="190"/>
      <c r="Q44" s="190"/>
      <c r="R44" s="190"/>
      <c r="S44" s="190"/>
    </row>
    <row r="45" spans="2:24" x14ac:dyDescent="0.3">
      <c r="C45" s="194" t="s">
        <v>49</v>
      </c>
      <c r="D45" s="195">
        <f>SUMPRODUCT((LEFT(F21:F38, 1)="O") / (COUNTIF(F21:F38, F21:F38 &amp; "") + (F21:F38="")))</f>
        <v>0</v>
      </c>
      <c r="E45" s="448" t="s">
        <v>198</v>
      </c>
      <c r="F45" s="448"/>
      <c r="G45" s="199">
        <f>SUM(J21:J29)</f>
        <v>0.61458333333333337</v>
      </c>
      <c r="H45" s="200">
        <f>+G45*24/($G$44*24)</f>
        <v>2.36</v>
      </c>
      <c r="I45" s="199">
        <f>SUM(J33:J38)</f>
        <v>0.5</v>
      </c>
      <c r="J45" s="200">
        <f>+I45*24/($I$44*24)</f>
        <v>1.92</v>
      </c>
      <c r="K45" s="201">
        <f>AVERAGE(G45+I45)/2</f>
        <v>0.55729166666666674</v>
      </c>
      <c r="L45" s="200">
        <f>+K45*24/($K$44*24)</f>
        <v>2.14</v>
      </c>
      <c r="M45" s="190"/>
      <c r="N45" s="190"/>
      <c r="O45" s="190"/>
      <c r="P45" s="190"/>
      <c r="Q45" s="190"/>
      <c r="R45" s="190"/>
      <c r="S45" s="190"/>
    </row>
    <row r="46" spans="2:24" ht="43.25" customHeight="1" thickBot="1" x14ac:dyDescent="0.35">
      <c r="E46" s="448" t="s">
        <v>94</v>
      </c>
      <c r="F46" s="448"/>
      <c r="G46" s="202"/>
      <c r="H46" s="203">
        <f>+AVERAGE(N21:N30)</f>
        <v>1</v>
      </c>
      <c r="I46" s="202"/>
      <c r="J46" s="203">
        <f>+AVERAGE(N33:N38)</f>
        <v>1</v>
      </c>
      <c r="K46" s="204"/>
      <c r="L46" s="203">
        <f>+AVERAGE(N21:N38)</f>
        <v>1</v>
      </c>
    </row>
    <row r="47" spans="2:24" ht="43.25" customHeight="1" x14ac:dyDescent="0.3">
      <c r="E47" s="205"/>
      <c r="F47" s="205"/>
      <c r="G47" s="206"/>
      <c r="H47" s="206"/>
      <c r="I47" s="137"/>
      <c r="J47" s="137"/>
      <c r="K47" s="137"/>
      <c r="L47" s="137"/>
    </row>
    <row r="48" spans="2:24" ht="43.25" customHeight="1" x14ac:dyDescent="0.3">
      <c r="E48" s="194"/>
      <c r="F48" s="194"/>
      <c r="G48" s="207"/>
      <c r="H48" s="208" t="s">
        <v>24</v>
      </c>
      <c r="I48" s="208" t="s">
        <v>199</v>
      </c>
      <c r="J48" s="208" t="s">
        <v>201</v>
      </c>
      <c r="K48" s="208" t="s">
        <v>404</v>
      </c>
      <c r="L48" s="345" t="s">
        <v>484</v>
      </c>
      <c r="M48" s="345" t="s">
        <v>485</v>
      </c>
      <c r="N48" s="208"/>
    </row>
    <row r="49" spans="2:13" ht="14.5" x14ac:dyDescent="0.35">
      <c r="E49" s="445" t="s">
        <v>174</v>
      </c>
      <c r="F49" s="445"/>
      <c r="G49" s="445"/>
      <c r="H49" s="209">
        <f>+U41</f>
        <v>0</v>
      </c>
      <c r="I49" s="298">
        <f>+H49*$J$49*$K$49</f>
        <v>0</v>
      </c>
      <c r="J49" s="298">
        <v>6.6</v>
      </c>
      <c r="K49" s="246">
        <v>3.42</v>
      </c>
      <c r="L49" s="344">
        <v>56.080975609756102</v>
      </c>
      <c r="M49" s="344">
        <f>+L49*K49*H49</f>
        <v>0</v>
      </c>
    </row>
    <row r="50" spans="2:13" ht="14.4" customHeight="1" x14ac:dyDescent="0.35">
      <c r="E50" s="445" t="s">
        <v>224</v>
      </c>
      <c r="F50" s="445"/>
      <c r="G50" s="445"/>
      <c r="H50" s="209"/>
      <c r="I50" s="298">
        <f>+J50*K50</f>
        <v>0</v>
      </c>
      <c r="J50" s="298">
        <f>1892/1000000</f>
        <v>1.892E-3</v>
      </c>
      <c r="K50" s="246">
        <f>+((15*4.4)*2.72)*0</f>
        <v>0</v>
      </c>
      <c r="L50" s="346">
        <v>1.6919982016368774E-2</v>
      </c>
      <c r="M50" s="344">
        <f>+L50*K50</f>
        <v>0</v>
      </c>
    </row>
    <row r="51" spans="2:13" ht="14.4" customHeight="1" x14ac:dyDescent="0.35">
      <c r="E51" s="445" t="s">
        <v>359</v>
      </c>
      <c r="F51" s="445"/>
      <c r="G51" s="445"/>
      <c r="H51" s="209"/>
      <c r="I51" s="298">
        <f>+J51*K51</f>
        <v>0</v>
      </c>
      <c r="J51" s="298">
        <v>0.340368</v>
      </c>
      <c r="K51" s="246">
        <v>0</v>
      </c>
      <c r="L51" s="346">
        <v>2.2358937544867188</v>
      </c>
      <c r="M51" s="344">
        <f>+L51*K51</f>
        <v>0</v>
      </c>
    </row>
    <row r="52" spans="2:13" ht="14.4" customHeight="1" x14ac:dyDescent="0.35">
      <c r="E52" s="445" t="s">
        <v>376</v>
      </c>
      <c r="F52" s="445"/>
      <c r="G52" s="445"/>
      <c r="H52" s="209">
        <v>0</v>
      </c>
      <c r="I52" s="298">
        <f>+H52*$J$52*$K$52</f>
        <v>0</v>
      </c>
      <c r="J52" s="298">
        <f>23683234/1000000</f>
        <v>23.683233999999999</v>
      </c>
      <c r="K52" s="226">
        <v>0</v>
      </c>
      <c r="L52" s="346">
        <v>254.98967741935485</v>
      </c>
      <c r="M52" s="344">
        <f>+L52*K52*H52</f>
        <v>0</v>
      </c>
    </row>
    <row r="53" spans="2:13" ht="14.4" customHeight="1" x14ac:dyDescent="0.35">
      <c r="E53" s="445" t="s">
        <v>236</v>
      </c>
      <c r="F53" s="445"/>
      <c r="G53" s="445"/>
      <c r="H53" s="209"/>
      <c r="I53" s="298">
        <f>+J53*K53</f>
        <v>0</v>
      </c>
      <c r="J53" s="298">
        <f>25508/1000000</f>
        <v>2.5507999999999999E-2</v>
      </c>
      <c r="K53" s="246">
        <f>7/(0.05)*0</f>
        <v>0</v>
      </c>
      <c r="L53" s="347" t="s">
        <v>486</v>
      </c>
      <c r="M53" s="349"/>
    </row>
    <row r="54" spans="2:13" ht="14.4" customHeight="1" x14ac:dyDescent="0.35">
      <c r="E54" s="445" t="s">
        <v>451</v>
      </c>
      <c r="F54" s="445"/>
      <c r="G54" s="445"/>
      <c r="H54" s="209">
        <v>1</v>
      </c>
      <c r="I54" s="298">
        <f>H54*J54</f>
        <v>7.9892054999999997</v>
      </c>
      <c r="J54" s="298">
        <f>15978411/2000000</f>
        <v>7.9892054999999997</v>
      </c>
      <c r="K54" s="246"/>
      <c r="L54" s="347" t="s">
        <v>486</v>
      </c>
      <c r="M54" s="344"/>
    </row>
    <row r="55" spans="2:13" ht="14.4" customHeight="1" x14ac:dyDescent="0.35">
      <c r="E55" s="445" t="s">
        <v>298</v>
      </c>
      <c r="F55" s="445"/>
      <c r="G55" s="445"/>
      <c r="H55" s="209"/>
      <c r="I55" s="210">
        <f>SUM(I49:I54)</f>
        <v>7.9892054999999997</v>
      </c>
      <c r="J55" s="214"/>
      <c r="K55" s="246"/>
      <c r="L55" s="344"/>
      <c r="M55" s="344"/>
    </row>
    <row r="56" spans="2:13" ht="14.4" customHeight="1" x14ac:dyDescent="0.35">
      <c r="E56" s="227"/>
      <c r="F56" s="227"/>
      <c r="G56" s="227"/>
      <c r="H56" s="209"/>
      <c r="I56" s="210"/>
      <c r="J56" s="214"/>
      <c r="K56" s="246"/>
      <c r="L56" s="344"/>
      <c r="M56" s="344"/>
    </row>
    <row r="57" spans="2:13" ht="14.4" customHeight="1" x14ac:dyDescent="0.35">
      <c r="E57" s="445" t="s">
        <v>175</v>
      </c>
      <c r="F57" s="445"/>
      <c r="G57" s="445"/>
      <c r="H57" s="209">
        <f>+U30</f>
        <v>0.30975470621791212</v>
      </c>
      <c r="I57" s="210">
        <f>+H57*$J$57*$K$57</f>
        <v>12.500460924130062</v>
      </c>
      <c r="J57" s="211">
        <v>11.8</v>
      </c>
      <c r="K57" s="246">
        <v>3.42</v>
      </c>
      <c r="L57" s="344">
        <v>118.52055555555555</v>
      </c>
      <c r="M57" s="344">
        <f>+L57*K57*H57</f>
        <v>125.55606554478035</v>
      </c>
    </row>
    <row r="58" spans="2:13" ht="14.4" customHeight="1" x14ac:dyDescent="0.35">
      <c r="E58" s="445" t="s">
        <v>225</v>
      </c>
      <c r="F58" s="445"/>
      <c r="G58" s="445"/>
      <c r="H58" s="209"/>
      <c r="I58" s="210">
        <f>+J58*K58</f>
        <v>0</v>
      </c>
      <c r="J58" s="296">
        <f>+J50*0</f>
        <v>0</v>
      </c>
      <c r="K58" s="215">
        <f>+((15*2.8)*2.72)*K29</f>
        <v>0</v>
      </c>
      <c r="L58" s="346">
        <v>1.6919982016368774E-2</v>
      </c>
      <c r="M58" s="344">
        <f>+L58*K58</f>
        <v>0</v>
      </c>
    </row>
    <row r="59" spans="2:13" ht="14.4" customHeight="1" x14ac:dyDescent="0.35">
      <c r="E59" s="445" t="s">
        <v>450</v>
      </c>
      <c r="F59" s="445"/>
      <c r="G59" s="445"/>
      <c r="H59" s="209">
        <f>2.5/(6.15*2)</f>
        <v>0.2032520325203252</v>
      </c>
      <c r="I59" s="210">
        <f>H59*J59</f>
        <v>0.74266483739837397</v>
      </c>
      <c r="J59" s="296">
        <f>3653911/1000000</f>
        <v>3.6539109999999999</v>
      </c>
      <c r="K59" s="215"/>
      <c r="L59" s="347" t="s">
        <v>486</v>
      </c>
      <c r="M59" s="349"/>
    </row>
    <row r="60" spans="2:13" ht="14.4" customHeight="1" x14ac:dyDescent="0.3">
      <c r="E60" s="445" t="s">
        <v>297</v>
      </c>
      <c r="F60" s="445"/>
      <c r="G60" s="445"/>
      <c r="H60" s="209"/>
      <c r="I60" s="210">
        <f>SUM(I57:I59)</f>
        <v>13.243125761528436</v>
      </c>
      <c r="J60" s="214"/>
      <c r="K60" s="246"/>
      <c r="L60" s="213"/>
      <c r="M60" s="352">
        <f>SUM(M49:M59)</f>
        <v>125.55606554478035</v>
      </c>
    </row>
    <row r="61" spans="2:13" ht="14.4" customHeight="1" x14ac:dyDescent="0.3">
      <c r="E61" s="227"/>
      <c r="F61" s="227"/>
      <c r="G61" s="227"/>
      <c r="H61" s="209"/>
      <c r="I61" s="210"/>
      <c r="J61" s="214"/>
      <c r="K61" s="246"/>
      <c r="L61" s="213"/>
    </row>
    <row r="62" spans="2:13" ht="14.4" customHeight="1" x14ac:dyDescent="0.3">
      <c r="L62" s="213"/>
    </row>
    <row r="63" spans="2:13" ht="7.75" customHeight="1" thickBot="1" x14ac:dyDescent="0.35"/>
    <row r="64" spans="2:13" ht="30" customHeight="1" thickBot="1" x14ac:dyDescent="0.35">
      <c r="B64" s="191"/>
      <c r="C64" s="446" t="s">
        <v>88</v>
      </c>
      <c r="D64" s="446"/>
      <c r="E64" s="192"/>
      <c r="F64" s="192"/>
      <c r="G64" s="192"/>
      <c r="H64" s="192"/>
      <c r="I64" s="216"/>
      <c r="J64" s="193"/>
    </row>
    <row r="65" spans="2:10" ht="38" customHeight="1" x14ac:dyDescent="0.3">
      <c r="C65" s="217" t="s">
        <v>89</v>
      </c>
      <c r="D65" s="195">
        <f>SUMPRODUCT((LEFT(G21:G38, 5)="Jumbo") / (COUNTIF(G21:G38, G21:G38 &amp; "") + (G21:G38="")))</f>
        <v>0</v>
      </c>
      <c r="E65" s="447" t="s">
        <v>90</v>
      </c>
      <c r="F65" s="447"/>
      <c r="G65" s="218">
        <v>0.20833333333333334</v>
      </c>
      <c r="I65" s="139"/>
      <c r="J65" s="190"/>
    </row>
    <row r="66" spans="2:10" ht="38" customHeight="1" x14ac:dyDescent="0.3">
      <c r="E66" s="447" t="s">
        <v>93</v>
      </c>
      <c r="F66" s="447"/>
      <c r="G66" s="195">
        <f>15000/(60)</f>
        <v>250</v>
      </c>
      <c r="H66" s="219" t="s">
        <v>143</v>
      </c>
      <c r="I66" s="139"/>
      <c r="J66" s="190"/>
    </row>
    <row r="67" spans="2:10" ht="38" customHeight="1" x14ac:dyDescent="0.3">
      <c r="E67" s="448" t="s">
        <v>91</v>
      </c>
      <c r="F67" s="448"/>
      <c r="G67" s="207" t="e">
        <f>+SUM(SUMIF($G$21:$G$38, "Jumbo*", $J$21:$J$38))/SUMPRODUCT((LEFT(G21:G38, 5)="Jumbo") / (COUNTIF(G21:G38, G21:G38 &amp; "") + (G21:G38="")))</f>
        <v>#DIV/0!</v>
      </c>
      <c r="H67" s="220" t="e">
        <f>+G67*24/($G$65*24)</f>
        <v>#DIV/0!</v>
      </c>
      <c r="I67" s="190"/>
      <c r="J67" s="190"/>
    </row>
    <row r="68" spans="2:10" ht="38" customHeight="1" x14ac:dyDescent="0.3">
      <c r="E68" s="448" t="s">
        <v>92</v>
      </c>
      <c r="F68" s="448"/>
      <c r="G68" s="221" t="e">
        <f>+SUM(V21:V38)/D65</f>
        <v>#DIV/0!</v>
      </c>
      <c r="H68" s="220" t="e">
        <f>+G68/G66</f>
        <v>#DIV/0!</v>
      </c>
      <c r="I68" s="190"/>
      <c r="J68" s="190"/>
    </row>
    <row r="69" spans="2:10" ht="38" customHeight="1" x14ac:dyDescent="0.3">
      <c r="G69" s="222" t="s">
        <v>87</v>
      </c>
      <c r="H69" s="139" t="s">
        <v>23</v>
      </c>
    </row>
    <row r="70" spans="2:10" ht="20" customHeight="1" x14ac:dyDescent="0.3">
      <c r="F70" s="208" t="s">
        <v>65</v>
      </c>
      <c r="G70" s="221">
        <f t="shared" ref="G70:G75" si="8" xml:space="preserve"> SUMIF($G$21:$G$38, +F70,$V$21:$V$38)</f>
        <v>0</v>
      </c>
      <c r="H70" s="220">
        <f t="shared" ref="H70:H75" si="9">+G70/$G$66</f>
        <v>0</v>
      </c>
    </row>
    <row r="71" spans="2:10" ht="20" customHeight="1" x14ac:dyDescent="0.3">
      <c r="F71" s="208" t="s">
        <v>66</v>
      </c>
      <c r="G71" s="221">
        <f t="shared" si="8"/>
        <v>0</v>
      </c>
      <c r="H71" s="220">
        <f t="shared" si="9"/>
        <v>0</v>
      </c>
    </row>
    <row r="72" spans="2:10" ht="20" customHeight="1" x14ac:dyDescent="0.3">
      <c r="F72" s="208" t="s">
        <v>67</v>
      </c>
      <c r="G72" s="221">
        <f t="shared" si="8"/>
        <v>0</v>
      </c>
      <c r="H72" s="220">
        <f t="shared" si="9"/>
        <v>0</v>
      </c>
    </row>
    <row r="73" spans="2:10" ht="20" customHeight="1" x14ac:dyDescent="0.3">
      <c r="F73" s="208" t="s">
        <v>68</v>
      </c>
      <c r="G73" s="221">
        <f t="shared" si="8"/>
        <v>0</v>
      </c>
      <c r="H73" s="220">
        <f t="shared" si="9"/>
        <v>0</v>
      </c>
    </row>
    <row r="74" spans="2:10" ht="20" customHeight="1" x14ac:dyDescent="0.3">
      <c r="F74" s="208" t="s">
        <v>69</v>
      </c>
      <c r="G74" s="221">
        <f t="shared" si="8"/>
        <v>0</v>
      </c>
      <c r="H74" s="220">
        <f t="shared" si="9"/>
        <v>0</v>
      </c>
    </row>
    <row r="75" spans="2:10" ht="20" customHeight="1" x14ac:dyDescent="0.3">
      <c r="F75" s="208" t="s">
        <v>70</v>
      </c>
      <c r="G75" s="221">
        <f t="shared" si="8"/>
        <v>0</v>
      </c>
      <c r="H75" s="220">
        <f t="shared" si="9"/>
        <v>0</v>
      </c>
    </row>
    <row r="76" spans="2:10" ht="20" customHeight="1" x14ac:dyDescent="0.3">
      <c r="F76" s="208" t="s">
        <v>146</v>
      </c>
      <c r="G76" s="223">
        <f>+SUM(G70:G75)</f>
        <v>0</v>
      </c>
      <c r="H76" s="220" t="e">
        <f>+G76/($G$66*$D$65)</f>
        <v>#DIV/0!</v>
      </c>
    </row>
    <row r="77" spans="2:10" ht="13.5" thickBot="1" x14ac:dyDescent="0.35"/>
    <row r="78" spans="2:10" ht="30" customHeight="1" thickBot="1" x14ac:dyDescent="0.35">
      <c r="B78" s="191"/>
      <c r="C78" s="446" t="s">
        <v>107</v>
      </c>
      <c r="D78" s="446"/>
      <c r="E78" s="192"/>
      <c r="F78" s="192"/>
      <c r="G78" s="192"/>
      <c r="H78" s="192"/>
      <c r="I78" s="216"/>
      <c r="J78" s="193"/>
    </row>
    <row r="79" spans="2:10" ht="38" customHeight="1" x14ac:dyDescent="0.3">
      <c r="C79" s="208" t="s">
        <v>95</v>
      </c>
      <c r="D79" s="195">
        <f>SUMPRODUCT((LEFT(G21:G38, 5)="Scoop") / (COUNTIF(G21:G38, G21:G38 &amp; "") + (G21:G38="")))</f>
        <v>1</v>
      </c>
      <c r="E79" s="447" t="s">
        <v>90</v>
      </c>
      <c r="F79" s="447"/>
      <c r="G79" s="218">
        <v>0.20833333333333334</v>
      </c>
      <c r="I79" s="139"/>
      <c r="J79" s="190"/>
    </row>
    <row r="80" spans="2:10" ht="38" customHeight="1" x14ac:dyDescent="0.3">
      <c r="C80" s="208" t="s">
        <v>145</v>
      </c>
      <c r="D80" s="195">
        <v>4.9000000000000004</v>
      </c>
      <c r="E80" s="447" t="s">
        <v>97</v>
      </c>
      <c r="F80" s="447"/>
      <c r="G80" s="195">
        <f>15000/(60)</f>
        <v>250</v>
      </c>
      <c r="H80" s="219" t="s">
        <v>23</v>
      </c>
      <c r="I80" s="139"/>
      <c r="J80" s="190"/>
    </row>
    <row r="81" spans="2:10" ht="38" customHeight="1" x14ac:dyDescent="0.3">
      <c r="E81" s="448" t="s">
        <v>98</v>
      </c>
      <c r="F81" s="448"/>
      <c r="G81" s="207">
        <f>+SUM(SUMIF($G$21:$G$38, "Scoop*", $J$21:$J$38))/SUMPRODUCT((LEFT(G21:G38, 5)="Scoop") / (COUNTIF(G21:G38, G21:G38 &amp; "") + (G21:G38="")))</f>
        <v>0.12152777777777779</v>
      </c>
      <c r="H81" s="220">
        <f>+G81*24/($G$79*24)</f>
        <v>0.58333333333333337</v>
      </c>
      <c r="I81" s="190"/>
      <c r="J81" s="190"/>
    </row>
    <row r="82" spans="2:10" ht="38" customHeight="1" x14ac:dyDescent="0.3">
      <c r="E82" s="448" t="s">
        <v>99</v>
      </c>
      <c r="F82" s="448"/>
      <c r="G82" s="221">
        <f>+SUM(W21:W38)*D80/D79</f>
        <v>0</v>
      </c>
      <c r="H82" s="220">
        <f>+G82/G80</f>
        <v>0</v>
      </c>
      <c r="I82" s="190"/>
      <c r="J82" s="190"/>
    </row>
    <row r="83" spans="2:10" ht="38" customHeight="1" x14ac:dyDescent="0.3">
      <c r="G83" s="222" t="s">
        <v>96</v>
      </c>
      <c r="H83" s="139" t="s">
        <v>23</v>
      </c>
    </row>
    <row r="84" spans="2:10" ht="20" customHeight="1" x14ac:dyDescent="0.3">
      <c r="F84" s="208" t="s">
        <v>71</v>
      </c>
      <c r="G84" s="221">
        <f t="shared" ref="G84:G89" si="10" xml:space="preserve"> SUMIF($G$21:$G$38, +F84,$W$21:$W$38)*$D$80</f>
        <v>0</v>
      </c>
      <c r="H84" s="220">
        <f>+G84/$G$80</f>
        <v>0</v>
      </c>
    </row>
    <row r="85" spans="2:10" ht="20" customHeight="1" x14ac:dyDescent="0.3">
      <c r="F85" s="208" t="s">
        <v>72</v>
      </c>
      <c r="G85" s="221">
        <f t="shared" si="10"/>
        <v>0</v>
      </c>
      <c r="H85" s="220">
        <f t="shared" ref="H85:H90" si="11">+G85/$G$80</f>
        <v>0</v>
      </c>
    </row>
    <row r="86" spans="2:10" ht="20" customHeight="1" x14ac:dyDescent="0.3">
      <c r="F86" s="208" t="s">
        <v>73</v>
      </c>
      <c r="G86" s="221">
        <f t="shared" si="10"/>
        <v>0</v>
      </c>
      <c r="H86" s="220">
        <f t="shared" si="11"/>
        <v>0</v>
      </c>
    </row>
    <row r="87" spans="2:10" ht="20" customHeight="1" x14ac:dyDescent="0.3">
      <c r="F87" s="208" t="s">
        <v>74</v>
      </c>
      <c r="G87" s="221">
        <f t="shared" si="10"/>
        <v>0</v>
      </c>
      <c r="H87" s="220">
        <f t="shared" si="11"/>
        <v>0</v>
      </c>
    </row>
    <row r="88" spans="2:10" ht="20" customHeight="1" x14ac:dyDescent="0.3">
      <c r="F88" s="208" t="s">
        <v>75</v>
      </c>
      <c r="G88" s="221">
        <f t="shared" si="10"/>
        <v>0</v>
      </c>
      <c r="H88" s="220">
        <f t="shared" si="11"/>
        <v>0</v>
      </c>
    </row>
    <row r="89" spans="2:10" ht="20" customHeight="1" x14ac:dyDescent="0.3">
      <c r="F89" s="208" t="s">
        <v>76</v>
      </c>
      <c r="G89" s="221">
        <f t="shared" si="10"/>
        <v>0</v>
      </c>
      <c r="H89" s="220">
        <f t="shared" si="11"/>
        <v>0</v>
      </c>
    </row>
    <row r="90" spans="2:10" ht="20" customHeight="1" x14ac:dyDescent="0.3">
      <c r="F90" s="208" t="s">
        <v>146</v>
      </c>
      <c r="G90" s="223">
        <f>+SUM(G84:G89)</f>
        <v>0</v>
      </c>
      <c r="H90" s="220">
        <f t="shared" si="11"/>
        <v>0</v>
      </c>
    </row>
    <row r="91" spans="2:10" ht="13.5" thickBot="1" x14ac:dyDescent="0.35"/>
    <row r="92" spans="2:10" ht="30" customHeight="1" thickBot="1" x14ac:dyDescent="0.35">
      <c r="B92" s="191"/>
      <c r="C92" s="446" t="s">
        <v>149</v>
      </c>
      <c r="D92" s="446"/>
      <c r="E92" s="192"/>
      <c r="F92" s="192"/>
      <c r="G92" s="192"/>
      <c r="H92" s="192"/>
      <c r="I92" s="216"/>
      <c r="J92" s="193"/>
    </row>
    <row r="93" spans="2:10" ht="25.25" customHeight="1" x14ac:dyDescent="0.3">
      <c r="C93" s="208" t="s">
        <v>150</v>
      </c>
      <c r="D93" s="195">
        <f>SUMPRODUCT((LEFT(G21:G38, 8)="Roboshot") / (COUNTIF(G21:G38, G21:G38 &amp; "") + (G21:G38="")))</f>
        <v>0</v>
      </c>
      <c r="E93" s="447" t="s">
        <v>90</v>
      </c>
      <c r="F93" s="447"/>
      <c r="G93" s="218">
        <v>0.20833333333333334</v>
      </c>
    </row>
    <row r="94" spans="2:10" x14ac:dyDescent="0.3">
      <c r="C94" s="208"/>
      <c r="D94" s="195"/>
      <c r="E94" s="447" t="s">
        <v>97</v>
      </c>
      <c r="F94" s="447"/>
      <c r="G94" s="195">
        <v>12</v>
      </c>
      <c r="H94" s="219" t="s">
        <v>23</v>
      </c>
    </row>
    <row r="96" spans="2:10" x14ac:dyDescent="0.3">
      <c r="G96" s="222" t="s">
        <v>96</v>
      </c>
      <c r="H96" s="139" t="s">
        <v>23</v>
      </c>
    </row>
    <row r="97" spans="6:8" x14ac:dyDescent="0.3">
      <c r="F97" s="208" t="s">
        <v>77</v>
      </c>
      <c r="G97" s="221">
        <f xml:space="preserve"> SUMIF($G$21:$G$38, +F97,$X$21:$X$38)</f>
        <v>0</v>
      </c>
      <c r="H97" s="220">
        <f>+G97/$G$94</f>
        <v>0</v>
      </c>
    </row>
    <row r="98" spans="6:8" x14ac:dyDescent="0.3">
      <c r="F98" s="208" t="s">
        <v>78</v>
      </c>
      <c r="G98" s="221">
        <f xml:space="preserve"> SUMIF($G$21:$G$38, +F98,$X$21:$X$38)</f>
        <v>0</v>
      </c>
      <c r="H98" s="220">
        <f t="shared" ref="H98:H99" si="12">+G98/$G$94</f>
        <v>0</v>
      </c>
    </row>
    <row r="99" spans="6:8" x14ac:dyDescent="0.3">
      <c r="F99" s="208" t="s">
        <v>79</v>
      </c>
      <c r="G99" s="221">
        <f xml:space="preserve"> SUMIF($G$21:$G$38, +F99,$X$21:$X$38)</f>
        <v>0</v>
      </c>
      <c r="H99" s="220">
        <f t="shared" si="12"/>
        <v>0</v>
      </c>
    </row>
    <row r="100" spans="6:8" x14ac:dyDescent="0.3">
      <c r="F100" s="208" t="s">
        <v>146</v>
      </c>
      <c r="G100" s="223">
        <f>+SUM(G97:G99)</f>
        <v>0</v>
      </c>
      <c r="H100" s="220">
        <f>+G100/$G$94</f>
        <v>0</v>
      </c>
    </row>
  </sheetData>
  <mergeCells count="42">
    <mergeCell ref="K8:L8"/>
    <mergeCell ref="B1:D4"/>
    <mergeCell ref="E2:R2"/>
    <mergeCell ref="E3:R4"/>
    <mergeCell ref="K6:L6"/>
    <mergeCell ref="K7:L7"/>
    <mergeCell ref="E51:G51"/>
    <mergeCell ref="K9:L9"/>
    <mergeCell ref="K10:L10"/>
    <mergeCell ref="K11:L11"/>
    <mergeCell ref="K12:L12"/>
    <mergeCell ref="B14:S14"/>
    <mergeCell ref="C43:D43"/>
    <mergeCell ref="G43:H43"/>
    <mergeCell ref="I43:J43"/>
    <mergeCell ref="K43:L43"/>
    <mergeCell ref="E44:F44"/>
    <mergeCell ref="E45:F45"/>
    <mergeCell ref="E46:F46"/>
    <mergeCell ref="E49:G49"/>
    <mergeCell ref="E50:G50"/>
    <mergeCell ref="E52:G52"/>
    <mergeCell ref="E53:G53"/>
    <mergeCell ref="E55:G55"/>
    <mergeCell ref="E57:G57"/>
    <mergeCell ref="E58:G58"/>
    <mergeCell ref="C92:D92"/>
    <mergeCell ref="E93:F93"/>
    <mergeCell ref="C64:D64"/>
    <mergeCell ref="E65:F65"/>
    <mergeCell ref="E66:F66"/>
    <mergeCell ref="E67:F67"/>
    <mergeCell ref="E68:F68"/>
    <mergeCell ref="C78:D78"/>
    <mergeCell ref="E94:F94"/>
    <mergeCell ref="E59:G59"/>
    <mergeCell ref="E54:G54"/>
    <mergeCell ref="E79:F79"/>
    <mergeCell ref="E80:F80"/>
    <mergeCell ref="E81:F81"/>
    <mergeCell ref="E82:F82"/>
    <mergeCell ref="E60:G60"/>
  </mergeCells>
  <conditionalFormatting sqref="H45:H46 J45:J46">
    <cfRule type="cellIs" dxfId="629" priority="13" operator="greaterThan">
      <formula>0.9</formula>
    </cfRule>
    <cfRule type="cellIs" dxfId="628" priority="14" operator="between">
      <formula>0.81</formula>
      <formula>0.89</formula>
    </cfRule>
    <cfRule type="cellIs" dxfId="627" priority="15" operator="lessThan">
      <formula>0.8</formula>
    </cfRule>
  </conditionalFormatting>
  <conditionalFormatting sqref="H67:H68">
    <cfRule type="cellIs" dxfId="626" priority="16" operator="greaterThan">
      <formula>0.9</formula>
    </cfRule>
    <cfRule type="cellIs" dxfId="625" priority="17" operator="between">
      <formula>0.81</formula>
      <formula>0.89</formula>
    </cfRule>
    <cfRule type="cellIs" dxfId="624" priority="18" operator="lessThan">
      <formula>0.8</formula>
    </cfRule>
  </conditionalFormatting>
  <conditionalFormatting sqref="H70:H76">
    <cfRule type="cellIs" dxfId="623" priority="19" operator="greaterThan">
      <formula>0.9</formula>
    </cfRule>
    <cfRule type="cellIs" dxfId="622" priority="20" operator="between">
      <formula>0.81</formula>
      <formula>0.89</formula>
    </cfRule>
    <cfRule type="cellIs" dxfId="621" priority="21" operator="lessThan">
      <formula>0.8</formula>
    </cfRule>
  </conditionalFormatting>
  <conditionalFormatting sqref="H81:H82">
    <cfRule type="cellIs" dxfId="620" priority="7" operator="greaterThan">
      <formula>0.9</formula>
    </cfRule>
    <cfRule type="cellIs" dxfId="619" priority="8" operator="between">
      <formula>0.81</formula>
      <formula>0.89</formula>
    </cfRule>
    <cfRule type="cellIs" dxfId="618" priority="9" operator="lessThan">
      <formula>0.8</formula>
    </cfRule>
  </conditionalFormatting>
  <conditionalFormatting sqref="H84:H90">
    <cfRule type="cellIs" dxfId="617" priority="10" operator="greaterThan">
      <formula>0.9</formula>
    </cfRule>
    <cfRule type="cellIs" dxfId="616" priority="11" operator="between">
      <formula>0.81</formula>
      <formula>0.89</formula>
    </cfRule>
    <cfRule type="cellIs" dxfId="615" priority="12" operator="lessThan">
      <formula>0.8</formula>
    </cfRule>
  </conditionalFormatting>
  <conditionalFormatting sqref="H97:H100">
    <cfRule type="cellIs" dxfId="614" priority="4" operator="greaterThan">
      <formula>0.9</formula>
    </cfRule>
    <cfRule type="cellIs" dxfId="613" priority="5" operator="between">
      <formula>0.81</formula>
      <formula>0.89</formula>
    </cfRule>
    <cfRule type="cellIs" dxfId="612" priority="6" operator="lessThan">
      <formula>0.8</formula>
    </cfRule>
  </conditionalFormatting>
  <conditionalFormatting sqref="L45:L46">
    <cfRule type="cellIs" dxfId="611" priority="1" operator="greaterThan">
      <formula>0.9</formula>
    </cfRule>
    <cfRule type="cellIs" dxfId="610" priority="2" operator="between">
      <formula>0.81</formula>
      <formula>0.89</formula>
    </cfRule>
    <cfRule type="cellIs" dxfId="609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7296426-B729-4CD0-B4AA-888CCFCCEA1A}">
          <x14:formula1>
            <xm:f>Datos!$F$3:$F$41</xm:f>
          </x14:formula1>
          <xm:sqref>G33:G41 G21:G30</xm:sqref>
        </x14:dataValidation>
        <x14:dataValidation type="list" allowBlank="1" showInputMessage="1" showErrorMessage="1" xr:uid="{D4C022D5-8B61-4BDE-BED8-DBB567FE81E9}">
          <x14:formula1>
            <xm:f>Datos!$W$3:$W$12</xm:f>
          </x14:formula1>
          <xm:sqref>L33:L41 L21:L30</xm:sqref>
        </x14:dataValidation>
        <x14:dataValidation type="list" allowBlank="1" showInputMessage="1" showErrorMessage="1" xr:uid="{0835E6B9-C66C-47D8-A928-3E7919FDAFE2}">
          <x14:formula1>
            <xm:f>Datos!$D$3:$D$27</xm:f>
          </x14:formula1>
          <xm:sqref>F33:F41 F21:F30</xm:sqref>
        </x14:dataValidation>
        <x14:dataValidation type="list" allowBlank="1" showInputMessage="1" showErrorMessage="1" xr:uid="{A0BCE472-826B-4884-8788-FB9596DF733D}">
          <x14:formula1>
            <xm:f>Datos!$B$3:$B$8</xm:f>
          </x14:formula1>
          <xm:sqref>E33:E41 E21:E30</xm:sqref>
        </x14:dataValidation>
        <x14:dataValidation type="list" allowBlank="1" showInputMessage="1" showErrorMessage="1" xr:uid="{A7107715-4CCE-4623-A81D-3BA955302007}">
          <x14:formula1>
            <xm:f>Datos!$H$3:$H$34</xm:f>
          </x14:formula1>
          <xm:sqref>D33:D40 D21:D29</xm:sqref>
        </x14:dataValidation>
        <x14:dataValidation type="list" allowBlank="1" showInputMessage="1" showErrorMessage="1" xr:uid="{C864B4B3-D751-4DBD-A46E-C9723EF435A4}">
          <x14:formula1>
            <xm:f>Datos!$H$3:$H$26</xm:f>
          </x14:formula1>
          <xm:sqref>D30 D41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5341-D43C-4ED3-8E46-C356FB2AD231}">
  <sheetPr>
    <pageSetUpPr fitToPage="1"/>
  </sheetPr>
  <dimension ref="B1:X99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L26" sqref="L26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+G45</f>
        <v>0.70486111111111105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+H46</f>
        <v>0.8666666666666667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+G75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+G89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+G99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52</v>
      </c>
      <c r="E21" s="172"/>
      <c r="F21" s="172"/>
      <c r="G21" s="172"/>
      <c r="H21" s="174">
        <v>4.1666666666666664E-2</v>
      </c>
      <c r="I21" s="174">
        <v>0.15763888888888888</v>
      </c>
      <c r="J21" s="175">
        <f>I21-H21</f>
        <v>0.11597222222222223</v>
      </c>
      <c r="K21" s="178">
        <v>60</v>
      </c>
      <c r="L21" s="177" t="s">
        <v>126</v>
      </c>
      <c r="M21" s="178"/>
      <c r="N21" s="179">
        <v>0.6</v>
      </c>
      <c r="O21" s="186"/>
      <c r="P21" s="181"/>
      <c r="Q21" s="174"/>
      <c r="R21" s="174"/>
      <c r="S21" s="175">
        <f>+MOD(R21-Q21,1)</f>
        <v>0</v>
      </c>
      <c r="U21" s="182">
        <f>+IFERROR(VLOOKUP(D21,Datos!$R$3:$T$19,3,FALSE), "0")*N21</f>
        <v>4.107244723331431E-2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288</v>
      </c>
      <c r="E22" s="172"/>
      <c r="F22" s="172"/>
      <c r="G22" s="172"/>
      <c r="H22" s="174">
        <v>0.15763888888888888</v>
      </c>
      <c r="I22" s="174">
        <v>0.1701388888888889</v>
      </c>
      <c r="J22" s="175">
        <f>I22-H22</f>
        <v>1.2500000000000011E-2</v>
      </c>
      <c r="K22" s="178"/>
      <c r="L22" s="177"/>
      <c r="M22" s="178"/>
      <c r="N22" s="179">
        <v>1</v>
      </c>
      <c r="O22" s="225"/>
      <c r="P22" s="181"/>
      <c r="Q22" s="174"/>
      <c r="R22" s="172"/>
      <c r="S22" s="175">
        <f t="shared" ref="S22:S30" si="0">+MOD(R22-Q22,1)</f>
        <v>0</v>
      </c>
      <c r="U22" s="182">
        <f>+IFERROR(VLOOKUP(D22,Datos!$R$3:$T$19,3,FALSE), "0")*N22</f>
        <v>0</v>
      </c>
      <c r="V22" s="183" t="str">
        <f t="shared" ref="V22:V30" si="1">IF(OR(D22="Perforación de Fortificación", D22="Perforación de Avance", D22="Perforación Desquinche"), K22*M22, "")</f>
        <v/>
      </c>
      <c r="W22" s="183" t="str">
        <f t="shared" ref="W22:W30" si="2">IF(D22="Extracción de Marina Disparo",K22,"")</f>
        <v/>
      </c>
      <c r="X22" s="183" t="str">
        <f t="shared" ref="X22:X30" si="3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105</v>
      </c>
      <c r="E23" s="172"/>
      <c r="F23" s="172"/>
      <c r="G23" s="172"/>
      <c r="H23" s="174">
        <v>0.1736111111111111</v>
      </c>
      <c r="I23" s="174">
        <v>0.25</v>
      </c>
      <c r="J23" s="175">
        <f>I23-H23</f>
        <v>7.6388888888888895E-2</v>
      </c>
      <c r="K23" s="178">
        <v>9</v>
      </c>
      <c r="L23" s="177" t="s">
        <v>128</v>
      </c>
      <c r="M23" s="178"/>
      <c r="N23" s="179">
        <v>1</v>
      </c>
      <c r="O23" s="186" t="s">
        <v>433</v>
      </c>
      <c r="P23" s="181"/>
      <c r="Q23" s="174"/>
      <c r="R23" s="172"/>
      <c r="S23" s="175">
        <f t="shared" si="0"/>
        <v>0</v>
      </c>
      <c r="U23" s="182">
        <f>+IFERROR(VLOOKUP(D23,Datos!$R$3:$T$19,3,FALSE), "0")*N23</f>
        <v>0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/>
      <c r="E24" s="172"/>
      <c r="F24" s="172"/>
      <c r="G24" s="172"/>
      <c r="H24" s="174"/>
      <c r="I24" s="174"/>
      <c r="J24" s="175">
        <f>I24-H24</f>
        <v>0</v>
      </c>
      <c r="K24" s="178"/>
      <c r="L24" s="177"/>
      <c r="M24" s="178"/>
      <c r="N24" s="179"/>
      <c r="O24" s="186"/>
      <c r="P24" s="181"/>
      <c r="Q24" s="174"/>
      <c r="R24" s="174"/>
      <c r="S24" s="175"/>
      <c r="U24" s="182">
        <f>+IFERROR(VLOOKUP(D24,Datos!$R$3:$T$19,3,FALSE), "0")*N24</f>
        <v>0</v>
      </c>
      <c r="V24" s="183" t="str">
        <f t="shared" si="1"/>
        <v/>
      </c>
      <c r="W24" s="183" t="str">
        <f t="shared" si="2"/>
        <v/>
      </c>
      <c r="X24" s="183" t="str">
        <f t="shared" si="3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225"/>
      <c r="P25" s="181"/>
      <c r="Q25" s="174"/>
      <c r="R25" s="174"/>
      <c r="S25" s="175"/>
      <c r="U25" s="182">
        <f>+IFERROR(VLOOKUP(D25,Datos!$R$3:$T$19,3,FALSE), "0")*N25</f>
        <v>0</v>
      </c>
      <c r="V25" s="183" t="str">
        <f t="shared" si="1"/>
        <v/>
      </c>
      <c r="W25" s="183" t="str">
        <f t="shared" si="2"/>
        <v/>
      </c>
      <c r="X25" s="183" t="str">
        <f t="shared" si="3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/>
      <c r="K26" s="178"/>
      <c r="L26" s="177"/>
      <c r="M26" s="178"/>
      <c r="N26" s="179"/>
      <c r="O26" s="186"/>
      <c r="P26" s="181"/>
      <c r="Q26" s="174"/>
      <c r="R26" s="174"/>
      <c r="S26" s="175"/>
      <c r="U26" s="182">
        <f>+IFERROR(VLOOKUP(D26,Datos!$R$3:$T$19,3,FALSE), "0")*N26</f>
        <v>0</v>
      </c>
      <c r="V26" s="183"/>
      <c r="W26" s="183"/>
      <c r="X26" s="183"/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/>
      <c r="J27" s="175"/>
      <c r="K27" s="178"/>
      <c r="L27" s="177"/>
      <c r="M27" s="178"/>
      <c r="N27" s="179"/>
      <c r="O27" s="186"/>
      <c r="P27" s="181"/>
      <c r="Q27" s="174"/>
      <c r="R27" s="174"/>
      <c r="S27" s="175"/>
      <c r="U27" s="182">
        <f>+IFERROR(VLOOKUP(D27,Datos!$R$3:$T$19,3,FALSE), "0")*N27</f>
        <v>0</v>
      </c>
      <c r="V27" s="183"/>
      <c r="W27" s="183"/>
      <c r="X27" s="183"/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/>
      <c r="J28" s="175"/>
      <c r="K28" s="178"/>
      <c r="L28" s="177"/>
      <c r="M28" s="178"/>
      <c r="N28" s="179"/>
      <c r="O28" s="186"/>
      <c r="P28" s="181"/>
      <c r="Q28" s="174"/>
      <c r="R28" s="174"/>
      <c r="S28" s="175"/>
      <c r="U28" s="182">
        <f>+IFERROR(VLOOKUP(D28,Datos!$R$3:$T$19,3,FALSE), "0")*N28</f>
        <v>0</v>
      </c>
      <c r="V28" s="183"/>
      <c r="W28" s="183"/>
      <c r="X28" s="183"/>
    </row>
    <row r="29" spans="2:24" ht="37.75" customHeight="1" x14ac:dyDescent="0.3">
      <c r="B29" s="172"/>
      <c r="C29" s="173"/>
      <c r="D29" s="173" t="s">
        <v>110</v>
      </c>
      <c r="E29" s="172"/>
      <c r="F29" s="172"/>
      <c r="G29" s="172"/>
      <c r="H29" s="174">
        <v>0.83333333333333337</v>
      </c>
      <c r="I29" s="174">
        <v>1.3333333333333333</v>
      </c>
      <c r="J29" s="175">
        <f>I29-H29</f>
        <v>0.49999999999999989</v>
      </c>
      <c r="K29" s="178"/>
      <c r="L29" s="177"/>
      <c r="M29" s="178"/>
      <c r="N29" s="179"/>
      <c r="O29" s="186" t="s">
        <v>432</v>
      </c>
      <c r="P29" s="181"/>
      <c r="Q29" s="174"/>
      <c r="R29" s="174"/>
      <c r="S29" s="175"/>
      <c r="U29" s="182">
        <f>+IFERROR(VLOOKUP(D29,Datos!$R$3:$T$19,3,FALSE), "0")*N29</f>
        <v>0</v>
      </c>
      <c r="V29" s="183" t="str">
        <f t="shared" si="1"/>
        <v/>
      </c>
      <c r="W29" s="183" t="str">
        <f t="shared" si="2"/>
        <v/>
      </c>
      <c r="X29" s="183" t="str">
        <f t="shared" si="3"/>
        <v/>
      </c>
    </row>
    <row r="30" spans="2:24" ht="38" customHeight="1" x14ac:dyDescent="0.3">
      <c r="B30" s="172"/>
      <c r="C30" s="173"/>
      <c r="D30" s="173"/>
      <c r="E30" s="172"/>
      <c r="F30" s="172"/>
      <c r="G30" s="172"/>
      <c r="H30" s="174"/>
      <c r="I30" s="174" t="s">
        <v>329</v>
      </c>
      <c r="J30" s="175">
        <f>MOD(I23-H21, 1)</f>
        <v>0.20833333333333334</v>
      </c>
      <c r="K30" s="178"/>
      <c r="L30" s="177"/>
      <c r="M30" s="178"/>
      <c r="N30" s="179"/>
      <c r="O30" s="186"/>
      <c r="P30" s="172"/>
      <c r="Q30" s="172"/>
      <c r="R30" s="172"/>
      <c r="S30" s="175">
        <f t="shared" si="0"/>
        <v>0</v>
      </c>
      <c r="U30" s="182">
        <f>SUM(U21:U29)</f>
        <v>4.107244723331431E-2</v>
      </c>
      <c r="V30" s="183" t="str">
        <f t="shared" si="1"/>
        <v/>
      </c>
      <c r="W30" s="183" t="str">
        <f t="shared" si="2"/>
        <v/>
      </c>
      <c r="X30" s="183" t="str">
        <f t="shared" si="3"/>
        <v/>
      </c>
    </row>
    <row r="31" spans="2:24" x14ac:dyDescent="0.3">
      <c r="B31" s="185" t="s">
        <v>158</v>
      </c>
      <c r="C31" s="63" t="s">
        <v>194</v>
      </c>
      <c r="D31" s="63"/>
      <c r="E31" s="63"/>
      <c r="F31" s="63"/>
      <c r="G31" s="63"/>
      <c r="H31" s="63"/>
      <c r="I31" s="63"/>
      <c r="J31" s="64"/>
      <c r="K31" s="64"/>
      <c r="L31" s="171"/>
      <c r="M31" s="63"/>
      <c r="N31" s="64"/>
      <c r="O31" s="64"/>
      <c r="P31" s="63"/>
      <c r="Q31" s="63"/>
      <c r="R31" s="63"/>
      <c r="S31" s="64"/>
      <c r="U31" s="63"/>
      <c r="V31" s="64"/>
      <c r="W31" s="64"/>
      <c r="X31" s="64"/>
    </row>
    <row r="32" spans="2:24" ht="52" x14ac:dyDescent="0.3">
      <c r="B32" s="63" t="s">
        <v>3</v>
      </c>
      <c r="C32" s="63" t="s">
        <v>2</v>
      </c>
      <c r="D32" s="63" t="s">
        <v>5</v>
      </c>
      <c r="E32" s="63" t="s">
        <v>22</v>
      </c>
      <c r="F32" s="63" t="s">
        <v>139</v>
      </c>
      <c r="G32" s="63" t="s">
        <v>29</v>
      </c>
      <c r="H32" s="63" t="s">
        <v>121</v>
      </c>
      <c r="I32" s="63" t="s">
        <v>4</v>
      </c>
      <c r="J32" s="64" t="s">
        <v>122</v>
      </c>
      <c r="K32" s="64" t="s">
        <v>131</v>
      </c>
      <c r="L32" s="171" t="s">
        <v>123</v>
      </c>
      <c r="M32" s="63" t="s">
        <v>134</v>
      </c>
      <c r="N32" s="64" t="s">
        <v>24</v>
      </c>
      <c r="O32" s="64" t="s">
        <v>130</v>
      </c>
      <c r="P32" s="63" t="s">
        <v>132</v>
      </c>
      <c r="Q32" s="63" t="s">
        <v>121</v>
      </c>
      <c r="R32" s="63" t="s">
        <v>4</v>
      </c>
      <c r="S32" s="64" t="s">
        <v>137</v>
      </c>
      <c r="U32" s="63" t="s">
        <v>109</v>
      </c>
      <c r="V32" s="64" t="s">
        <v>87</v>
      </c>
      <c r="W32" s="64" t="s">
        <v>128</v>
      </c>
      <c r="X32" s="64" t="s">
        <v>128</v>
      </c>
    </row>
    <row r="33" spans="2:24" ht="38" customHeight="1" x14ac:dyDescent="0.3">
      <c r="B33" s="172">
        <v>3700</v>
      </c>
      <c r="C33" s="173" t="str">
        <f>+Datos!$R$23</f>
        <v>Ciclo Minero 5,2 x 5,6 m
Galería Acceso Portal de Servicio</v>
      </c>
      <c r="D33" s="173" t="s">
        <v>110</v>
      </c>
      <c r="E33" s="172"/>
      <c r="F33" s="172"/>
      <c r="G33" s="172"/>
      <c r="H33" s="174">
        <v>0.83333333333333337</v>
      </c>
      <c r="I33" s="174">
        <v>1.3333333333333333</v>
      </c>
      <c r="J33" s="175">
        <f>I33-H33</f>
        <v>0.49999999999999989</v>
      </c>
      <c r="K33" s="178"/>
      <c r="L33" s="177"/>
      <c r="M33" s="178"/>
      <c r="N33" s="179">
        <v>1</v>
      </c>
      <c r="O33" s="186" t="s">
        <v>428</v>
      </c>
      <c r="P33" s="225"/>
      <c r="Q33" s="174"/>
      <c r="R33" s="174"/>
      <c r="S33" s="175"/>
      <c r="U33" s="187">
        <f>+IFERROR(VLOOKUP(D33,Datos!$R$24:$T$40,3,FALSE), "0")*N33</f>
        <v>0</v>
      </c>
      <c r="V33" s="183" t="str">
        <f t="shared" ref="V33:V41" si="4">IF(OR(D33="Perforación de Fortificación", D33="Perforación de Avance", D33="Perforación Desquinche"), K33*M33, "")</f>
        <v/>
      </c>
      <c r="W33" s="183" t="str">
        <f>IF(D33="Extracción de Marina Disparo",K33,"")</f>
        <v/>
      </c>
      <c r="X33" s="183" t="str">
        <f t="shared" ref="X33:X41" si="5">IF(OR(D33="Shotcrete", D33="Pre Shotcrete"), K33, "")</f>
        <v/>
      </c>
    </row>
    <row r="34" spans="2:24" ht="38" customHeight="1" x14ac:dyDescent="0.3">
      <c r="B34" s="172">
        <v>3700</v>
      </c>
      <c r="C34" s="173" t="str">
        <f>+Datos!$R$23</f>
        <v>Ciclo Minero 5,2 x 5,6 m
Galería Acceso Portal de Servicio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225"/>
      <c r="P34" s="173"/>
      <c r="Q34" s="174"/>
      <c r="R34" s="174"/>
      <c r="S34" s="175"/>
      <c r="U34" s="187">
        <f>+IFERROR(VLOOKUP(D34,Datos!$R$24:$T$40,3,FALSE), "0")*N34</f>
        <v>0</v>
      </c>
      <c r="V34" s="183" t="str">
        <f t="shared" si="4"/>
        <v/>
      </c>
      <c r="W34" s="183" t="str">
        <f>IF(D34="Extracción de Marina Disparo",K34,"")</f>
        <v/>
      </c>
      <c r="X34" s="183" t="str">
        <f t="shared" si="5"/>
        <v/>
      </c>
    </row>
    <row r="35" spans="2:24" ht="53.4" customHeight="1" x14ac:dyDescent="0.3">
      <c r="B35" s="172">
        <v>3700</v>
      </c>
      <c r="C35" s="173" t="str">
        <f>+C33</f>
        <v>Ciclo Minero 5,2 x 5,6 m
Galería Acceso Portal de Servicio</v>
      </c>
      <c r="D35" s="173"/>
      <c r="E35" s="172"/>
      <c r="F35" s="172"/>
      <c r="G35" s="172"/>
      <c r="H35" s="174"/>
      <c r="I35" s="174"/>
      <c r="J35" s="175"/>
      <c r="K35" s="178"/>
      <c r="L35" s="177"/>
      <c r="M35" s="178"/>
      <c r="N35" s="179"/>
      <c r="O35" s="225"/>
      <c r="P35" s="181"/>
      <c r="Q35" s="174"/>
      <c r="R35" s="174"/>
      <c r="S35" s="175"/>
      <c r="U35" s="187">
        <f>+IFERROR(VLOOKUP(D35,Datos!$R$24:$T$40,3,FALSE), "0")*N35</f>
        <v>0</v>
      </c>
      <c r="V35" s="183" t="str">
        <f t="shared" si="4"/>
        <v/>
      </c>
      <c r="W35" s="183" t="str">
        <f t="shared" ref="W35:W41" si="6">IF(D35="Extracción de Marina Disparo",K35,"")</f>
        <v/>
      </c>
      <c r="X35" s="183" t="str">
        <f t="shared" si="5"/>
        <v/>
      </c>
    </row>
    <row r="36" spans="2:24" ht="38" customHeight="1" x14ac:dyDescent="0.3">
      <c r="B36" s="172">
        <v>3700</v>
      </c>
      <c r="C36" s="173" t="s">
        <v>397</v>
      </c>
      <c r="D36" s="173"/>
      <c r="E36" s="172"/>
      <c r="F36" s="172"/>
      <c r="G36" s="172"/>
      <c r="H36" s="174"/>
      <c r="I36" s="174"/>
      <c r="J36" s="175"/>
      <c r="K36" s="178"/>
      <c r="L36" s="177"/>
      <c r="M36" s="178"/>
      <c r="N36" s="179"/>
      <c r="O36" s="186"/>
      <c r="P36" s="172"/>
      <c r="Q36" s="172"/>
      <c r="R36" s="172"/>
      <c r="S36" s="175"/>
      <c r="U36" s="187">
        <f>+IFERROR(VLOOKUP(D36,Datos!$R$24:$T$40,3,FALSE), "0")*N36</f>
        <v>0</v>
      </c>
      <c r="V36" s="183" t="str">
        <f t="shared" si="4"/>
        <v/>
      </c>
      <c r="W36" s="183" t="str">
        <f t="shared" si="6"/>
        <v/>
      </c>
      <c r="X36" s="183"/>
    </row>
    <row r="37" spans="2:24" ht="38" customHeight="1" x14ac:dyDescent="0.3">
      <c r="B37" s="172">
        <v>3700</v>
      </c>
      <c r="C37" s="173" t="str">
        <f>+C36</f>
        <v>Fróntón Bodega</v>
      </c>
      <c r="D37" s="173"/>
      <c r="E37" s="172"/>
      <c r="F37" s="172"/>
      <c r="G37" s="172"/>
      <c r="H37" s="174"/>
      <c r="I37" s="174"/>
      <c r="J37" s="175"/>
      <c r="K37" s="178"/>
      <c r="L37" s="177"/>
      <c r="M37" s="178"/>
      <c r="N37" s="179"/>
      <c r="O37" s="186"/>
      <c r="P37" s="181"/>
      <c r="Q37" s="174"/>
      <c r="R37" s="174"/>
      <c r="S37" s="175"/>
      <c r="U37" s="187">
        <f>+IFERROR(VLOOKUP(D37,Datos!$R$24:$T$40,3,FALSE), "0")*N37</f>
        <v>0</v>
      </c>
      <c r="V37" s="183" t="str">
        <f t="shared" si="4"/>
        <v/>
      </c>
      <c r="W37" s="183" t="str">
        <f t="shared" si="6"/>
        <v/>
      </c>
      <c r="X37" s="183" t="str">
        <f t="shared" si="5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/>
      <c r="J38" s="175">
        <f>MOD(I38-H38, 1)</f>
        <v>0</v>
      </c>
      <c r="K38" s="178"/>
      <c r="L38" s="177"/>
      <c r="M38" s="178"/>
      <c r="N38" s="179"/>
      <c r="O38" s="225"/>
      <c r="P38" s="172"/>
      <c r="Q38" s="172"/>
      <c r="R38" s="172"/>
      <c r="S38" s="175">
        <f t="shared" ref="S38:S41" si="7">+MOD(R38-Q38,1)</f>
        <v>0</v>
      </c>
      <c r="U38" s="187">
        <f>+IFERROR(VLOOKUP(D38,Datos!$R$24:$T$40,3,FALSE), "0")*N38</f>
        <v>0</v>
      </c>
      <c r="V38" s="183" t="str">
        <f t="shared" si="4"/>
        <v/>
      </c>
      <c r="W38" s="183" t="str">
        <f t="shared" si="6"/>
        <v/>
      </c>
      <c r="X38" s="183" t="str">
        <f t="shared" si="5"/>
        <v/>
      </c>
    </row>
    <row r="39" spans="2:24" ht="38" customHeight="1" x14ac:dyDescent="0.3">
      <c r="B39" s="172"/>
      <c r="C39" s="173"/>
      <c r="D39" s="173"/>
      <c r="E39" s="172"/>
      <c r="F39" s="172"/>
      <c r="G39" s="172"/>
      <c r="H39" s="174"/>
      <c r="I39" s="174"/>
      <c r="J39" s="175">
        <f>MOD(I39-H39, 1)</f>
        <v>0</v>
      </c>
      <c r="K39" s="178"/>
      <c r="L39" s="177"/>
      <c r="M39" s="178"/>
      <c r="N39" s="179"/>
      <c r="O39" s="186"/>
      <c r="P39" s="172"/>
      <c r="Q39" s="172"/>
      <c r="R39" s="172"/>
      <c r="S39" s="175">
        <f t="shared" si="7"/>
        <v>0</v>
      </c>
      <c r="U39" s="187"/>
      <c r="V39" s="183" t="str">
        <f t="shared" si="4"/>
        <v/>
      </c>
      <c r="W39" s="183" t="str">
        <f t="shared" si="6"/>
        <v/>
      </c>
      <c r="X39" s="183" t="str">
        <f t="shared" si="5"/>
        <v/>
      </c>
    </row>
    <row r="40" spans="2:24" ht="38" customHeight="1" x14ac:dyDescent="0.3">
      <c r="B40" s="172"/>
      <c r="C40" s="173"/>
      <c r="D40" s="173"/>
      <c r="E40" s="172"/>
      <c r="F40" s="172"/>
      <c r="G40" s="172"/>
      <c r="H40" s="174"/>
      <c r="I40" s="174"/>
      <c r="J40" s="175">
        <f>MOD(I40-H40, 1)</f>
        <v>0</v>
      </c>
      <c r="K40" s="178"/>
      <c r="L40" s="177"/>
      <c r="M40" s="178"/>
      <c r="N40" s="179"/>
      <c r="O40" s="186"/>
      <c r="P40" s="172"/>
      <c r="Q40" s="172"/>
      <c r="R40" s="172"/>
      <c r="S40" s="175">
        <f t="shared" si="7"/>
        <v>0</v>
      </c>
      <c r="U40" s="187"/>
      <c r="V40" s="183" t="str">
        <f t="shared" si="4"/>
        <v/>
      </c>
      <c r="W40" s="183" t="str">
        <f t="shared" si="6"/>
        <v/>
      </c>
      <c r="X40" s="183" t="str">
        <f t="shared" si="5"/>
        <v/>
      </c>
    </row>
    <row r="41" spans="2:24" ht="38" customHeight="1" x14ac:dyDescent="0.3">
      <c r="B41" s="172"/>
      <c r="C41" s="173"/>
      <c r="D41" s="173"/>
      <c r="E41" s="172"/>
      <c r="F41" s="172"/>
      <c r="G41" s="172"/>
      <c r="H41" s="174"/>
      <c r="I41" s="174" t="s">
        <v>329</v>
      </c>
      <c r="J41" s="175">
        <v>0</v>
      </c>
      <c r="K41" s="178"/>
      <c r="L41" s="177"/>
      <c r="M41" s="178"/>
      <c r="N41" s="179"/>
      <c r="O41" s="186"/>
      <c r="P41" s="172"/>
      <c r="Q41" s="172"/>
      <c r="R41" s="172"/>
      <c r="S41" s="175">
        <f t="shared" si="7"/>
        <v>0</v>
      </c>
      <c r="U41" s="182">
        <f>SUM(U33:U40)</f>
        <v>0</v>
      </c>
      <c r="V41" s="183" t="str">
        <f t="shared" si="4"/>
        <v/>
      </c>
      <c r="W41" s="183" t="str">
        <f t="shared" si="6"/>
        <v/>
      </c>
      <c r="X41" s="183" t="str">
        <f t="shared" si="5"/>
        <v/>
      </c>
    </row>
    <row r="42" spans="2:24" ht="15.65" customHeight="1" thickBot="1" x14ac:dyDescent="0.35">
      <c r="B42" s="190"/>
      <c r="C42" s="190"/>
      <c r="D42" s="190"/>
      <c r="E42" s="190"/>
      <c r="F42" s="190"/>
      <c r="G42" s="190"/>
      <c r="H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</row>
    <row r="43" spans="2:24" ht="30" customHeight="1" thickBot="1" x14ac:dyDescent="0.35">
      <c r="B43" s="191"/>
      <c r="C43" s="446" t="s">
        <v>64</v>
      </c>
      <c r="D43" s="446"/>
      <c r="E43" s="192"/>
      <c r="F43" s="192"/>
      <c r="G43" s="431">
        <v>3500</v>
      </c>
      <c r="H43" s="432"/>
      <c r="I43" s="431">
        <v>3700</v>
      </c>
      <c r="J43" s="432"/>
      <c r="K43" s="433" t="s">
        <v>146</v>
      </c>
      <c r="L43" s="434"/>
      <c r="M43" s="190"/>
      <c r="N43" s="190"/>
      <c r="O43" s="190"/>
      <c r="P43" s="190"/>
      <c r="Q43" s="190"/>
      <c r="R43" s="190"/>
      <c r="S43" s="190"/>
    </row>
    <row r="44" spans="2:24" ht="30" customHeight="1" x14ac:dyDescent="0.3">
      <c r="C44" s="194" t="s">
        <v>48</v>
      </c>
      <c r="D44" s="195">
        <f>SUMPRODUCT((LEFT(F21:F38, 1)="C") / (COUNTIF(F21:F38, F21:F38 &amp; "") + (F21:F38="")))</f>
        <v>0</v>
      </c>
      <c r="E44" s="447" t="s">
        <v>90</v>
      </c>
      <c r="F44" s="447"/>
      <c r="G44" s="196">
        <v>0.26041666666666669</v>
      </c>
      <c r="H44" s="197" t="s">
        <v>23</v>
      </c>
      <c r="I44" s="196">
        <v>0.26041666666666669</v>
      </c>
      <c r="J44" s="197" t="s">
        <v>23</v>
      </c>
      <c r="K44" s="198">
        <f>+G44</f>
        <v>0.26041666666666669</v>
      </c>
      <c r="L44" s="197" t="s">
        <v>23</v>
      </c>
      <c r="M44" s="190"/>
      <c r="N44" s="190"/>
      <c r="O44" s="190"/>
      <c r="P44" s="190"/>
      <c r="Q44" s="190"/>
      <c r="R44" s="190"/>
      <c r="S44" s="190"/>
    </row>
    <row r="45" spans="2:24" x14ac:dyDescent="0.3">
      <c r="C45" s="194" t="s">
        <v>49</v>
      </c>
      <c r="D45" s="195">
        <f>SUMPRODUCT((LEFT(F21:F38, 1)="O") / (COUNTIF(F21:F38, F21:F38 &amp; "") + (F21:F38="")))</f>
        <v>0</v>
      </c>
      <c r="E45" s="448" t="s">
        <v>198</v>
      </c>
      <c r="F45" s="448"/>
      <c r="G45" s="199">
        <f>SUM(J21:J29)</f>
        <v>0.70486111111111105</v>
      </c>
      <c r="H45" s="200">
        <f>+G45*24/($G$44*24)</f>
        <v>2.7066666666666661</v>
      </c>
      <c r="I45" s="199">
        <f>SUM(J33:J38)</f>
        <v>0.49999999999999989</v>
      </c>
      <c r="J45" s="200">
        <f>+I45*24/($I$44*24)</f>
        <v>1.9199999999999995</v>
      </c>
      <c r="K45" s="201">
        <f>AVERAGE(G45+I45)/2</f>
        <v>0.60243055555555547</v>
      </c>
      <c r="L45" s="200">
        <f>+K45*24/($K$44*24)</f>
        <v>2.313333333333333</v>
      </c>
      <c r="M45" s="190"/>
      <c r="N45" s="190"/>
      <c r="O45" s="190"/>
      <c r="P45" s="190"/>
      <c r="Q45" s="190"/>
      <c r="R45" s="190"/>
      <c r="S45" s="190"/>
    </row>
    <row r="46" spans="2:24" ht="43.25" customHeight="1" thickBot="1" x14ac:dyDescent="0.35">
      <c r="E46" s="448" t="s">
        <v>94</v>
      </c>
      <c r="F46" s="448"/>
      <c r="G46" s="202"/>
      <c r="H46" s="203">
        <f>+AVERAGE(N21:N30)</f>
        <v>0.8666666666666667</v>
      </c>
      <c r="I46" s="202"/>
      <c r="J46" s="203">
        <f>+AVERAGE(N33:N38)</f>
        <v>1</v>
      </c>
      <c r="K46" s="204"/>
      <c r="L46" s="203">
        <f>+AVERAGE(N21:N38)</f>
        <v>0.9</v>
      </c>
    </row>
    <row r="47" spans="2:24" ht="43.25" customHeight="1" x14ac:dyDescent="0.3">
      <c r="E47" s="205"/>
      <c r="F47" s="205"/>
      <c r="G47" s="206"/>
      <c r="H47" s="206"/>
      <c r="I47" s="137"/>
      <c r="J47" s="137"/>
      <c r="K47" s="137"/>
      <c r="L47" s="137"/>
    </row>
    <row r="48" spans="2:24" ht="43.25" customHeight="1" x14ac:dyDescent="0.3">
      <c r="E48" s="194"/>
      <c r="F48" s="194"/>
      <c r="G48" s="207"/>
      <c r="H48" s="208" t="s">
        <v>24</v>
      </c>
      <c r="I48" s="208" t="s">
        <v>199</v>
      </c>
      <c r="J48" s="208" t="s">
        <v>201</v>
      </c>
      <c r="K48" s="208" t="s">
        <v>404</v>
      </c>
      <c r="L48" s="345" t="s">
        <v>484</v>
      </c>
      <c r="M48" s="345" t="s">
        <v>485</v>
      </c>
      <c r="N48" s="208"/>
    </row>
    <row r="49" spans="2:13" ht="14.5" x14ac:dyDescent="0.35">
      <c r="E49" s="445" t="s">
        <v>174</v>
      </c>
      <c r="F49" s="445"/>
      <c r="G49" s="445"/>
      <c r="H49" s="209">
        <f>+U41</f>
        <v>0</v>
      </c>
      <c r="I49" s="298">
        <f>+H49*$J$49*$K$49</f>
        <v>0</v>
      </c>
      <c r="J49" s="298">
        <v>6.6</v>
      </c>
      <c r="K49" s="246">
        <v>3.42</v>
      </c>
      <c r="L49" s="344">
        <v>56.080975609756102</v>
      </c>
      <c r="M49" s="344">
        <f>+L49*K49*H49</f>
        <v>0</v>
      </c>
    </row>
    <row r="50" spans="2:13" ht="14.4" customHeight="1" x14ac:dyDescent="0.35">
      <c r="E50" s="445" t="s">
        <v>224</v>
      </c>
      <c r="F50" s="445"/>
      <c r="G50" s="445"/>
      <c r="H50" s="209"/>
      <c r="I50" s="298">
        <f>+J50*K50</f>
        <v>0</v>
      </c>
      <c r="J50" s="298">
        <f>1892/1000000</f>
        <v>1.892E-3</v>
      </c>
      <c r="K50" s="246">
        <f>+((15*4.4)*2.72)*0</f>
        <v>0</v>
      </c>
      <c r="L50" s="346">
        <v>1.6919982016368774E-2</v>
      </c>
      <c r="M50" s="344">
        <f>+L50*K50</f>
        <v>0</v>
      </c>
    </row>
    <row r="51" spans="2:13" ht="14.4" customHeight="1" x14ac:dyDescent="0.35">
      <c r="E51" s="445" t="s">
        <v>359</v>
      </c>
      <c r="F51" s="445"/>
      <c r="G51" s="445"/>
      <c r="H51" s="209"/>
      <c r="I51" s="298">
        <f>+J51*K51</f>
        <v>0</v>
      </c>
      <c r="J51" s="298">
        <v>0.340368</v>
      </c>
      <c r="K51" s="246">
        <v>0</v>
      </c>
      <c r="L51" s="346">
        <v>2.2358937544867188</v>
      </c>
      <c r="M51" s="344">
        <f>+L51*K51</f>
        <v>0</v>
      </c>
    </row>
    <row r="52" spans="2:13" ht="14.4" customHeight="1" x14ac:dyDescent="0.35">
      <c r="E52" s="445" t="s">
        <v>376</v>
      </c>
      <c r="F52" s="445"/>
      <c r="G52" s="445"/>
      <c r="H52" s="209">
        <v>0</v>
      </c>
      <c r="I52" s="298">
        <f>+H52*$J$52*$K$52</f>
        <v>0</v>
      </c>
      <c r="J52" s="298">
        <f>23683234/1000000</f>
        <v>23.683233999999999</v>
      </c>
      <c r="K52" s="226">
        <v>0</v>
      </c>
      <c r="L52" s="346">
        <v>254.98967741935485</v>
      </c>
      <c r="M52" s="344">
        <f>+L52*K52*H52</f>
        <v>0</v>
      </c>
    </row>
    <row r="53" spans="2:13" ht="14.4" customHeight="1" x14ac:dyDescent="0.35">
      <c r="E53" s="445" t="s">
        <v>236</v>
      </c>
      <c r="F53" s="445"/>
      <c r="G53" s="445"/>
      <c r="H53" s="209"/>
      <c r="I53" s="298">
        <f>+J53*K53</f>
        <v>0</v>
      </c>
      <c r="J53" s="298">
        <f>25508/1000000</f>
        <v>2.5507999999999999E-2</v>
      </c>
      <c r="K53" s="246">
        <f>7/(0.05)*0</f>
        <v>0</v>
      </c>
      <c r="L53" s="347" t="s">
        <v>486</v>
      </c>
      <c r="M53" s="349"/>
    </row>
    <row r="54" spans="2:13" ht="14.4" customHeight="1" x14ac:dyDescent="0.35">
      <c r="E54" s="445" t="s">
        <v>451</v>
      </c>
      <c r="F54" s="445"/>
      <c r="G54" s="445"/>
      <c r="H54" s="209">
        <v>1</v>
      </c>
      <c r="I54" s="298">
        <f>H54*J54</f>
        <v>7.9892054999999997</v>
      </c>
      <c r="J54" s="298">
        <f>15978411/2000000</f>
        <v>7.9892054999999997</v>
      </c>
      <c r="K54" s="246"/>
      <c r="L54" s="347" t="s">
        <v>486</v>
      </c>
      <c r="M54" s="344"/>
    </row>
    <row r="55" spans="2:13" ht="14.4" customHeight="1" x14ac:dyDescent="0.35">
      <c r="E55" s="445" t="s">
        <v>298</v>
      </c>
      <c r="F55" s="445"/>
      <c r="G55" s="445"/>
      <c r="H55" s="209"/>
      <c r="I55" s="210">
        <f>SUM(I49:I54)</f>
        <v>7.9892054999999997</v>
      </c>
      <c r="J55" s="214"/>
      <c r="K55" s="246"/>
      <c r="L55" s="344"/>
      <c r="M55" s="344"/>
    </row>
    <row r="56" spans="2:13" ht="14.4" customHeight="1" x14ac:dyDescent="0.35">
      <c r="E56" s="227"/>
      <c r="F56" s="227"/>
      <c r="G56" s="227"/>
      <c r="H56" s="209"/>
      <c r="I56" s="210"/>
      <c r="J56" s="214"/>
      <c r="K56" s="246"/>
      <c r="L56" s="344"/>
      <c r="M56" s="344"/>
    </row>
    <row r="57" spans="2:13" ht="14.4" customHeight="1" x14ac:dyDescent="0.35">
      <c r="E57" s="445" t="s">
        <v>175</v>
      </c>
      <c r="F57" s="445"/>
      <c r="G57" s="445"/>
      <c r="H57" s="209">
        <f>+U30</f>
        <v>4.107244723331431E-2</v>
      </c>
      <c r="I57" s="210">
        <f>+H57*$J$57*$K$57</f>
        <v>1.6575196805476324</v>
      </c>
      <c r="J57" s="211">
        <v>11.8</v>
      </c>
      <c r="K57" s="246">
        <v>3.42</v>
      </c>
      <c r="L57" s="344">
        <v>118.52055555555555</v>
      </c>
      <c r="M57" s="344">
        <f>+L57*K57*H57</f>
        <v>16.64831808328579</v>
      </c>
    </row>
    <row r="58" spans="2:13" ht="14.4" customHeight="1" x14ac:dyDescent="0.35">
      <c r="E58" s="445" t="s">
        <v>225</v>
      </c>
      <c r="F58" s="445"/>
      <c r="G58" s="445"/>
      <c r="H58" s="209"/>
      <c r="I58" s="210">
        <f>+J58*K58</f>
        <v>0</v>
      </c>
      <c r="J58" s="296">
        <f>+J50*0</f>
        <v>0</v>
      </c>
      <c r="K58" s="215">
        <f>+((15*2.8)*2.72)*K29</f>
        <v>0</v>
      </c>
      <c r="L58" s="346">
        <v>1.6919982016368774E-2</v>
      </c>
      <c r="M58" s="344">
        <f>+L58*K58</f>
        <v>0</v>
      </c>
    </row>
    <row r="59" spans="2:13" ht="14.4" customHeight="1" x14ac:dyDescent="0.35">
      <c r="E59" s="445" t="s">
        <v>297</v>
      </c>
      <c r="F59" s="445"/>
      <c r="G59" s="445"/>
      <c r="H59" s="209"/>
      <c r="I59" s="210">
        <f>SUM(I57:I58)</f>
        <v>1.6575196805476324</v>
      </c>
      <c r="J59" s="214"/>
      <c r="K59" s="246"/>
      <c r="L59" s="347"/>
      <c r="M59" s="349"/>
    </row>
    <row r="60" spans="2:13" ht="14.4" customHeight="1" x14ac:dyDescent="0.3">
      <c r="E60" s="227"/>
      <c r="F60" s="227"/>
      <c r="G60" s="227"/>
      <c r="H60" s="209"/>
      <c r="I60" s="210"/>
      <c r="J60" s="214"/>
      <c r="K60" s="246"/>
      <c r="L60" s="213"/>
      <c r="M60" s="352">
        <f>SUM(M49:M59)</f>
        <v>16.64831808328579</v>
      </c>
    </row>
    <row r="61" spans="2:13" ht="14.4" customHeight="1" x14ac:dyDescent="0.3">
      <c r="L61" s="213"/>
    </row>
    <row r="62" spans="2:13" ht="7.75" customHeight="1" thickBot="1" x14ac:dyDescent="0.35"/>
    <row r="63" spans="2:13" ht="30" customHeight="1" thickBot="1" x14ac:dyDescent="0.35">
      <c r="B63" s="191"/>
      <c r="C63" s="446" t="s">
        <v>88</v>
      </c>
      <c r="D63" s="446"/>
      <c r="E63" s="192"/>
      <c r="F63" s="192"/>
      <c r="G63" s="192"/>
      <c r="H63" s="192"/>
      <c r="I63" s="216"/>
      <c r="J63" s="193"/>
    </row>
    <row r="64" spans="2:13" ht="38" customHeight="1" x14ac:dyDescent="0.3">
      <c r="C64" s="217" t="s">
        <v>89</v>
      </c>
      <c r="D64" s="195">
        <f>SUMPRODUCT((LEFT(G21:G38, 5)="Jumbo") / (COUNTIF(G21:G38, G21:G38 &amp; "") + (G21:G38="")))</f>
        <v>0</v>
      </c>
      <c r="E64" s="447" t="s">
        <v>90</v>
      </c>
      <c r="F64" s="447"/>
      <c r="G64" s="218">
        <v>0.20833333333333334</v>
      </c>
      <c r="I64" s="139"/>
      <c r="J64" s="190"/>
    </row>
    <row r="65" spans="2:10" ht="38" customHeight="1" x14ac:dyDescent="0.3">
      <c r="E65" s="447" t="s">
        <v>93</v>
      </c>
      <c r="F65" s="447"/>
      <c r="G65" s="195">
        <f>15000/(60)</f>
        <v>250</v>
      </c>
      <c r="H65" s="219" t="s">
        <v>143</v>
      </c>
      <c r="I65" s="139"/>
      <c r="J65" s="190"/>
    </row>
    <row r="66" spans="2:10" ht="38" customHeight="1" x14ac:dyDescent="0.3">
      <c r="E66" s="448" t="s">
        <v>91</v>
      </c>
      <c r="F66" s="448"/>
      <c r="G66" s="207" t="e">
        <f>+SUM(SUMIF($G$21:$G$38, "Jumbo*", $J$21:$J$38))/SUMPRODUCT((LEFT(G21:G38, 5)="Jumbo") / (COUNTIF(G21:G38, G21:G38 &amp; "") + (G21:G38="")))</f>
        <v>#DIV/0!</v>
      </c>
      <c r="H66" s="220" t="e">
        <f>+G66*24/($G$64*24)</f>
        <v>#DIV/0!</v>
      </c>
      <c r="I66" s="190"/>
      <c r="J66" s="190"/>
    </row>
    <row r="67" spans="2:10" ht="38" customHeight="1" x14ac:dyDescent="0.3">
      <c r="E67" s="448" t="s">
        <v>92</v>
      </c>
      <c r="F67" s="448"/>
      <c r="G67" s="221" t="e">
        <f>+SUM(V21:V38)/D64</f>
        <v>#DIV/0!</v>
      </c>
      <c r="H67" s="220" t="e">
        <f>+G67/G65</f>
        <v>#DIV/0!</v>
      </c>
      <c r="I67" s="190"/>
      <c r="J67" s="190"/>
    </row>
    <row r="68" spans="2:10" ht="38" customHeight="1" x14ac:dyDescent="0.3">
      <c r="G68" s="222" t="s">
        <v>87</v>
      </c>
      <c r="H68" s="139" t="s">
        <v>23</v>
      </c>
    </row>
    <row r="69" spans="2:10" ht="20" customHeight="1" x14ac:dyDescent="0.3">
      <c r="F69" s="208" t="s">
        <v>65</v>
      </c>
      <c r="G69" s="221">
        <f t="shared" ref="G69:G74" si="8" xml:space="preserve"> SUMIF($G$21:$G$38, +F69,$V$21:$V$38)</f>
        <v>0</v>
      </c>
      <c r="H69" s="220">
        <f t="shared" ref="H69:H74" si="9">+G69/$G$65</f>
        <v>0</v>
      </c>
    </row>
    <row r="70" spans="2:10" ht="20" customHeight="1" x14ac:dyDescent="0.3">
      <c r="F70" s="208" t="s">
        <v>66</v>
      </c>
      <c r="G70" s="221">
        <f t="shared" si="8"/>
        <v>0</v>
      </c>
      <c r="H70" s="220">
        <f t="shared" si="9"/>
        <v>0</v>
      </c>
    </row>
    <row r="71" spans="2:10" ht="20" customHeight="1" x14ac:dyDescent="0.3">
      <c r="F71" s="208" t="s">
        <v>67</v>
      </c>
      <c r="G71" s="221">
        <f t="shared" si="8"/>
        <v>0</v>
      </c>
      <c r="H71" s="220">
        <f t="shared" si="9"/>
        <v>0</v>
      </c>
    </row>
    <row r="72" spans="2:10" ht="20" customHeight="1" x14ac:dyDescent="0.3">
      <c r="F72" s="208" t="s">
        <v>68</v>
      </c>
      <c r="G72" s="221">
        <f t="shared" si="8"/>
        <v>0</v>
      </c>
      <c r="H72" s="220">
        <f t="shared" si="9"/>
        <v>0</v>
      </c>
    </row>
    <row r="73" spans="2:10" ht="20" customHeight="1" x14ac:dyDescent="0.3">
      <c r="F73" s="208" t="s">
        <v>69</v>
      </c>
      <c r="G73" s="221">
        <f t="shared" si="8"/>
        <v>0</v>
      </c>
      <c r="H73" s="220">
        <f t="shared" si="9"/>
        <v>0</v>
      </c>
    </row>
    <row r="74" spans="2:10" ht="20" customHeight="1" x14ac:dyDescent="0.3">
      <c r="F74" s="208" t="s">
        <v>70</v>
      </c>
      <c r="G74" s="221">
        <f t="shared" si="8"/>
        <v>0</v>
      </c>
      <c r="H74" s="220">
        <f t="shared" si="9"/>
        <v>0</v>
      </c>
    </row>
    <row r="75" spans="2:10" ht="20" customHeight="1" x14ac:dyDescent="0.3">
      <c r="F75" s="208" t="s">
        <v>146</v>
      </c>
      <c r="G75" s="223">
        <f>+SUM(G69:G74)</f>
        <v>0</v>
      </c>
      <c r="H75" s="220" t="e">
        <f>+G75/($G$65*$D$64)</f>
        <v>#DIV/0!</v>
      </c>
    </row>
    <row r="76" spans="2:10" ht="13.5" thickBot="1" x14ac:dyDescent="0.35"/>
    <row r="77" spans="2:10" ht="30" customHeight="1" thickBot="1" x14ac:dyDescent="0.35">
      <c r="B77" s="191"/>
      <c r="C77" s="446" t="s">
        <v>107</v>
      </c>
      <c r="D77" s="446"/>
      <c r="E77" s="192"/>
      <c r="F77" s="192"/>
      <c r="G77" s="192"/>
      <c r="H77" s="192"/>
      <c r="I77" s="216"/>
      <c r="J77" s="193"/>
    </row>
    <row r="78" spans="2:10" ht="38" customHeight="1" x14ac:dyDescent="0.3">
      <c r="C78" s="208" t="s">
        <v>95</v>
      </c>
      <c r="D78" s="195">
        <f>SUMPRODUCT((LEFT(G21:G38, 5)="Scoop") / (COUNTIF(G21:G38, G21:G38 &amp; "") + (G21:G38="")))</f>
        <v>0</v>
      </c>
      <c r="E78" s="447" t="s">
        <v>90</v>
      </c>
      <c r="F78" s="447"/>
      <c r="G78" s="218">
        <v>0.20833333333333334</v>
      </c>
      <c r="I78" s="139"/>
      <c r="J78" s="190"/>
    </row>
    <row r="79" spans="2:10" ht="38" customHeight="1" x14ac:dyDescent="0.3">
      <c r="C79" s="208" t="s">
        <v>145</v>
      </c>
      <c r="D79" s="195">
        <v>4.9000000000000004</v>
      </c>
      <c r="E79" s="447" t="s">
        <v>97</v>
      </c>
      <c r="F79" s="447"/>
      <c r="G79" s="195">
        <f>15000/(60)</f>
        <v>250</v>
      </c>
      <c r="H79" s="219" t="s">
        <v>23</v>
      </c>
      <c r="I79" s="139"/>
      <c r="J79" s="190"/>
    </row>
    <row r="80" spans="2:10" ht="38" customHeight="1" x14ac:dyDescent="0.3">
      <c r="E80" s="448" t="s">
        <v>98</v>
      </c>
      <c r="F80" s="448"/>
      <c r="G80" s="207" t="e">
        <f>+SUM(SUMIF($G$21:$G$38, "Scoop*", $J$21:$J$38))/SUMPRODUCT((LEFT(G21:G38, 5)="Scoop") / (COUNTIF(G21:G38, G21:G38 &amp; "") + (G21:G38="")))</f>
        <v>#DIV/0!</v>
      </c>
      <c r="H80" s="220" t="e">
        <f>+G80*24/($G$78*24)</f>
        <v>#DIV/0!</v>
      </c>
      <c r="I80" s="190"/>
      <c r="J80" s="190"/>
    </row>
    <row r="81" spans="2:10" ht="38" customHeight="1" x14ac:dyDescent="0.3">
      <c r="E81" s="448" t="s">
        <v>99</v>
      </c>
      <c r="F81" s="448"/>
      <c r="G81" s="221" t="e">
        <f>+SUM(W21:W38)*D79/D78</f>
        <v>#DIV/0!</v>
      </c>
      <c r="H81" s="220" t="e">
        <f>+G81/G79</f>
        <v>#DIV/0!</v>
      </c>
      <c r="I81" s="190"/>
      <c r="J81" s="190"/>
    </row>
    <row r="82" spans="2:10" ht="38" customHeight="1" x14ac:dyDescent="0.3">
      <c r="G82" s="222" t="s">
        <v>96</v>
      </c>
      <c r="H82" s="139" t="s">
        <v>23</v>
      </c>
    </row>
    <row r="83" spans="2:10" ht="20" customHeight="1" x14ac:dyDescent="0.3">
      <c r="F83" s="208" t="s">
        <v>71</v>
      </c>
      <c r="G83" s="221">
        <f t="shared" ref="G83:G88" si="10" xml:space="preserve"> SUMIF($G$21:$G$38, +F83,$W$21:$W$38)*$D$79</f>
        <v>0</v>
      </c>
      <c r="H83" s="220">
        <f>+G83/$G$79</f>
        <v>0</v>
      </c>
    </row>
    <row r="84" spans="2:10" ht="20" customHeight="1" x14ac:dyDescent="0.3">
      <c r="F84" s="208" t="s">
        <v>72</v>
      </c>
      <c r="G84" s="221">
        <f t="shared" si="10"/>
        <v>0</v>
      </c>
      <c r="H84" s="220">
        <f t="shared" ref="H84:H89" si="11">+G84/$G$79</f>
        <v>0</v>
      </c>
    </row>
    <row r="85" spans="2:10" ht="20" customHeight="1" x14ac:dyDescent="0.3">
      <c r="F85" s="208" t="s">
        <v>73</v>
      </c>
      <c r="G85" s="221">
        <f t="shared" si="10"/>
        <v>0</v>
      </c>
      <c r="H85" s="220">
        <f t="shared" si="11"/>
        <v>0</v>
      </c>
    </row>
    <row r="86" spans="2:10" ht="20" customHeight="1" x14ac:dyDescent="0.3">
      <c r="F86" s="208" t="s">
        <v>74</v>
      </c>
      <c r="G86" s="221">
        <f t="shared" si="10"/>
        <v>0</v>
      </c>
      <c r="H86" s="220">
        <f t="shared" si="11"/>
        <v>0</v>
      </c>
    </row>
    <row r="87" spans="2:10" ht="20" customHeight="1" x14ac:dyDescent="0.3">
      <c r="F87" s="208" t="s">
        <v>75</v>
      </c>
      <c r="G87" s="221">
        <f t="shared" si="10"/>
        <v>0</v>
      </c>
      <c r="H87" s="220">
        <f t="shared" si="11"/>
        <v>0</v>
      </c>
    </row>
    <row r="88" spans="2:10" ht="20" customHeight="1" x14ac:dyDescent="0.3">
      <c r="F88" s="208" t="s">
        <v>76</v>
      </c>
      <c r="G88" s="221">
        <f t="shared" si="10"/>
        <v>0</v>
      </c>
      <c r="H88" s="220">
        <f t="shared" si="11"/>
        <v>0</v>
      </c>
    </row>
    <row r="89" spans="2:10" ht="20" customHeight="1" x14ac:dyDescent="0.3">
      <c r="F89" s="208" t="s">
        <v>146</v>
      </c>
      <c r="G89" s="223">
        <f>+SUM(G83:G88)</f>
        <v>0</v>
      </c>
      <c r="H89" s="220">
        <f t="shared" si="11"/>
        <v>0</v>
      </c>
    </row>
    <row r="90" spans="2:10" ht="13.5" thickBot="1" x14ac:dyDescent="0.35"/>
    <row r="91" spans="2:10" ht="30" customHeight="1" thickBot="1" x14ac:dyDescent="0.35">
      <c r="B91" s="191"/>
      <c r="C91" s="446" t="s">
        <v>149</v>
      </c>
      <c r="D91" s="446"/>
      <c r="E91" s="192"/>
      <c r="F91" s="192"/>
      <c r="G91" s="192"/>
      <c r="H91" s="192"/>
      <c r="I91" s="216"/>
      <c r="J91" s="193"/>
    </row>
    <row r="92" spans="2:10" ht="25.25" customHeight="1" x14ac:dyDescent="0.3">
      <c r="C92" s="208" t="s">
        <v>150</v>
      </c>
      <c r="D92" s="195">
        <f>SUMPRODUCT((LEFT(G21:G38, 8)="Roboshot") / (COUNTIF(G21:G38, G21:G38 &amp; "") + (G21:G38="")))</f>
        <v>0</v>
      </c>
      <c r="E92" s="447" t="s">
        <v>90</v>
      </c>
      <c r="F92" s="447"/>
      <c r="G92" s="218">
        <v>0.20833333333333334</v>
      </c>
    </row>
    <row r="93" spans="2:10" x14ac:dyDescent="0.3">
      <c r="C93" s="208"/>
      <c r="D93" s="195"/>
      <c r="E93" s="447" t="s">
        <v>97</v>
      </c>
      <c r="F93" s="447"/>
      <c r="G93" s="195">
        <v>12</v>
      </c>
      <c r="H93" s="219" t="s">
        <v>23</v>
      </c>
    </row>
    <row r="95" spans="2:10" x14ac:dyDescent="0.3">
      <c r="G95" s="222" t="s">
        <v>96</v>
      </c>
      <c r="H95" s="139" t="s">
        <v>23</v>
      </c>
    </row>
    <row r="96" spans="2:10" x14ac:dyDescent="0.3">
      <c r="F96" s="208" t="s">
        <v>77</v>
      </c>
      <c r="G96" s="221">
        <f xml:space="preserve"> SUMIF($G$21:$G$38, +F96,$X$21:$X$38)</f>
        <v>0</v>
      </c>
      <c r="H96" s="220">
        <f>+G96/$G$93</f>
        <v>0</v>
      </c>
    </row>
    <row r="97" spans="6:8" x14ac:dyDescent="0.3">
      <c r="F97" s="208" t="s">
        <v>78</v>
      </c>
      <c r="G97" s="221">
        <f xml:space="preserve"> SUMIF($G$21:$G$38, +F97,$X$21:$X$38)</f>
        <v>0</v>
      </c>
      <c r="H97" s="220">
        <f t="shared" ref="H97:H98" si="12">+G97/$G$93</f>
        <v>0</v>
      </c>
    </row>
    <row r="98" spans="6:8" x14ac:dyDescent="0.3">
      <c r="F98" s="208" t="s">
        <v>79</v>
      </c>
      <c r="G98" s="221">
        <f xml:space="preserve"> SUMIF($G$21:$G$38, +F98,$X$21:$X$38)</f>
        <v>0</v>
      </c>
      <c r="H98" s="220">
        <f t="shared" si="12"/>
        <v>0</v>
      </c>
    </row>
    <row r="99" spans="6:8" x14ac:dyDescent="0.3">
      <c r="F99" s="208" t="s">
        <v>146</v>
      </c>
      <c r="G99" s="223">
        <f>+SUM(G96:G98)</f>
        <v>0</v>
      </c>
      <c r="H99" s="220">
        <f>+G99/$G$93</f>
        <v>0</v>
      </c>
    </row>
  </sheetData>
  <mergeCells count="41">
    <mergeCell ref="K8:L8"/>
    <mergeCell ref="B1:D4"/>
    <mergeCell ref="E2:R2"/>
    <mergeCell ref="E3:R4"/>
    <mergeCell ref="K6:L6"/>
    <mergeCell ref="K7:L7"/>
    <mergeCell ref="E51:G51"/>
    <mergeCell ref="K9:L9"/>
    <mergeCell ref="K10:L10"/>
    <mergeCell ref="K11:L11"/>
    <mergeCell ref="K12:L12"/>
    <mergeCell ref="B14:S14"/>
    <mergeCell ref="C43:D43"/>
    <mergeCell ref="G43:H43"/>
    <mergeCell ref="I43:J43"/>
    <mergeCell ref="K43:L43"/>
    <mergeCell ref="E44:F44"/>
    <mergeCell ref="E45:F45"/>
    <mergeCell ref="E46:F46"/>
    <mergeCell ref="E49:G49"/>
    <mergeCell ref="E50:G50"/>
    <mergeCell ref="E52:G52"/>
    <mergeCell ref="E53:G53"/>
    <mergeCell ref="E55:G55"/>
    <mergeCell ref="E57:G57"/>
    <mergeCell ref="E58:G58"/>
    <mergeCell ref="C91:D91"/>
    <mergeCell ref="E92:F92"/>
    <mergeCell ref="C63:D63"/>
    <mergeCell ref="E64:F64"/>
    <mergeCell ref="E65:F65"/>
    <mergeCell ref="E66:F66"/>
    <mergeCell ref="E67:F67"/>
    <mergeCell ref="C77:D77"/>
    <mergeCell ref="E93:F93"/>
    <mergeCell ref="E54:G54"/>
    <mergeCell ref="E78:F78"/>
    <mergeCell ref="E79:F79"/>
    <mergeCell ref="E80:F80"/>
    <mergeCell ref="E81:F81"/>
    <mergeCell ref="E59:G59"/>
  </mergeCells>
  <conditionalFormatting sqref="H45:H46 J45:J46">
    <cfRule type="cellIs" dxfId="608" priority="13" operator="greaterThan">
      <formula>0.9</formula>
    </cfRule>
    <cfRule type="cellIs" dxfId="607" priority="14" operator="between">
      <formula>0.81</formula>
      <formula>0.89</formula>
    </cfRule>
    <cfRule type="cellIs" dxfId="606" priority="15" operator="lessThan">
      <formula>0.8</formula>
    </cfRule>
  </conditionalFormatting>
  <conditionalFormatting sqref="H66:H67">
    <cfRule type="cellIs" dxfId="605" priority="16" operator="greaterThan">
      <formula>0.9</formula>
    </cfRule>
    <cfRule type="cellIs" dxfId="604" priority="17" operator="between">
      <formula>0.81</formula>
      <formula>0.89</formula>
    </cfRule>
    <cfRule type="cellIs" dxfId="603" priority="18" operator="lessThan">
      <formula>0.8</formula>
    </cfRule>
  </conditionalFormatting>
  <conditionalFormatting sqref="H69:H75">
    <cfRule type="cellIs" dxfId="602" priority="19" operator="greaterThan">
      <formula>0.9</formula>
    </cfRule>
    <cfRule type="cellIs" dxfId="601" priority="20" operator="between">
      <formula>0.81</formula>
      <formula>0.89</formula>
    </cfRule>
    <cfRule type="cellIs" dxfId="600" priority="21" operator="lessThan">
      <formula>0.8</formula>
    </cfRule>
  </conditionalFormatting>
  <conditionalFormatting sqref="H80:H81">
    <cfRule type="cellIs" dxfId="599" priority="7" operator="greaterThan">
      <formula>0.9</formula>
    </cfRule>
    <cfRule type="cellIs" dxfId="598" priority="8" operator="between">
      <formula>0.81</formula>
      <formula>0.89</formula>
    </cfRule>
    <cfRule type="cellIs" dxfId="597" priority="9" operator="lessThan">
      <formula>0.8</formula>
    </cfRule>
  </conditionalFormatting>
  <conditionalFormatting sqref="H83:H89">
    <cfRule type="cellIs" dxfId="596" priority="10" operator="greaterThan">
      <formula>0.9</formula>
    </cfRule>
    <cfRule type="cellIs" dxfId="595" priority="11" operator="between">
      <formula>0.81</formula>
      <formula>0.89</formula>
    </cfRule>
    <cfRule type="cellIs" dxfId="594" priority="12" operator="lessThan">
      <formula>0.8</formula>
    </cfRule>
  </conditionalFormatting>
  <conditionalFormatting sqref="H96:H99">
    <cfRule type="cellIs" dxfId="593" priority="4" operator="greaterThan">
      <formula>0.9</formula>
    </cfRule>
    <cfRule type="cellIs" dxfId="592" priority="5" operator="between">
      <formula>0.81</formula>
      <formula>0.89</formula>
    </cfRule>
    <cfRule type="cellIs" dxfId="591" priority="6" operator="lessThan">
      <formula>0.8</formula>
    </cfRule>
  </conditionalFormatting>
  <conditionalFormatting sqref="L45:L46">
    <cfRule type="cellIs" dxfId="590" priority="1" operator="greaterThan">
      <formula>0.9</formula>
    </cfRule>
    <cfRule type="cellIs" dxfId="589" priority="2" operator="between">
      <formula>0.81</formula>
      <formula>0.89</formula>
    </cfRule>
    <cfRule type="cellIs" dxfId="588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0C90DEE-12D2-48D7-B2E0-0B3AD8F101CF}">
          <x14:formula1>
            <xm:f>Datos!$B$3:$B$8</xm:f>
          </x14:formula1>
          <xm:sqref>E33:E41 E21:E30</xm:sqref>
        </x14:dataValidation>
        <x14:dataValidation type="list" allowBlank="1" showInputMessage="1" showErrorMessage="1" xr:uid="{4DA5FF17-4C8D-4D82-A9D8-14C5D7341179}">
          <x14:formula1>
            <xm:f>Datos!$D$3:$D$27</xm:f>
          </x14:formula1>
          <xm:sqref>F33:F41 F21:F30</xm:sqref>
        </x14:dataValidation>
        <x14:dataValidation type="list" allowBlank="1" showInputMessage="1" showErrorMessage="1" xr:uid="{ADC4BDB6-9159-49C7-9407-0FDE5E3A967E}">
          <x14:formula1>
            <xm:f>Datos!$W$3:$W$12</xm:f>
          </x14:formula1>
          <xm:sqref>L33:L41 L21:L30</xm:sqref>
        </x14:dataValidation>
        <x14:dataValidation type="list" allowBlank="1" showInputMessage="1" showErrorMessage="1" xr:uid="{7BD71759-0B0E-4676-8B66-1278EBF8A939}">
          <x14:formula1>
            <xm:f>Datos!$F$3:$F$41</xm:f>
          </x14:formula1>
          <xm:sqref>G33:G41 G21:G30</xm:sqref>
        </x14:dataValidation>
        <x14:dataValidation type="list" allowBlank="1" showInputMessage="1" showErrorMessage="1" xr:uid="{09B7CA78-BB6B-4713-B478-D88E4F9FD1EA}">
          <x14:formula1>
            <xm:f>Datos!$H$3:$H$26</xm:f>
          </x14:formula1>
          <xm:sqref>D30 D41</xm:sqref>
        </x14:dataValidation>
        <x14:dataValidation type="list" allowBlank="1" showInputMessage="1" showErrorMessage="1" xr:uid="{3BDED725-6309-43B0-BBFD-67AFB2B49A1C}">
          <x14:formula1>
            <xm:f>Datos!$H$3:$H$34</xm:f>
          </x14:formula1>
          <xm:sqref>D33:D40 D21:D29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EC18D-2E03-40DF-B2A1-6BF3E328E677}">
  <sheetPr>
    <pageSetUpPr fitToPage="1"/>
  </sheetPr>
  <dimension ref="B1:X100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N24" sqref="N2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+G45</f>
        <v>1.0173611111111109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+H46</f>
        <v>0.85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+G76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+G90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+G100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101</v>
      </c>
      <c r="E21" s="172"/>
      <c r="F21" s="172"/>
      <c r="G21" s="172"/>
      <c r="H21" s="174">
        <v>0.375</v>
      </c>
      <c r="I21" s="174">
        <v>0.40277777777777779</v>
      </c>
      <c r="J21" s="175">
        <f>I21-H21</f>
        <v>2.777777777777779E-2</v>
      </c>
      <c r="K21" s="178"/>
      <c r="L21" s="177"/>
      <c r="M21" s="178"/>
      <c r="N21" s="179">
        <v>1</v>
      </c>
      <c r="O21" s="186"/>
      <c r="P21" s="181"/>
      <c r="Q21" s="174"/>
      <c r="R21" s="174"/>
      <c r="S21" s="175">
        <f>+MOD(R21-Q21,1)</f>
        <v>0</v>
      </c>
      <c r="U21" s="182">
        <f>+IFERROR(VLOOKUP(D21,Datos!$R$3:$T$19,3,FALSE), "0")*N21</f>
        <v>5.7045065601825425E-3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59</v>
      </c>
      <c r="E22" s="172"/>
      <c r="F22" s="172"/>
      <c r="G22" s="172" t="s">
        <v>204</v>
      </c>
      <c r="H22" s="174">
        <v>0.41666666666666669</v>
      </c>
      <c r="I22" s="174">
        <v>0.5625</v>
      </c>
      <c r="J22" s="175">
        <f>I22-H22</f>
        <v>0.14583333333333331</v>
      </c>
      <c r="K22" s="178"/>
      <c r="L22" s="177"/>
      <c r="M22" s="178"/>
      <c r="N22" s="179">
        <v>1</v>
      </c>
      <c r="O22" s="225"/>
      <c r="P22" s="181"/>
      <c r="Q22" s="174"/>
      <c r="R22" s="172"/>
      <c r="S22" s="175">
        <f t="shared" ref="S22:S30" si="0">+MOD(R22-Q22,1)</f>
        <v>0</v>
      </c>
      <c r="U22" s="182">
        <f>+IFERROR(VLOOKUP(D22,Datos!$R$3:$T$19,3,FALSE), "0")*N22</f>
        <v>5.7045065601825425E-3</v>
      </c>
      <c r="V22" s="183" t="str">
        <f t="shared" ref="V22:V30" si="1">IF(OR(D22="Perforación de Fortificación", D22="Perforación de Avance", D22="Perforación Desquinche"), K22*M22, "")</f>
        <v/>
      </c>
      <c r="W22" s="183" t="str">
        <f t="shared" ref="W22:W30" si="2">IF(D22="Extracción de Marina Disparo",K22,"")</f>
        <v/>
      </c>
      <c r="X22" s="183" t="str">
        <f t="shared" ref="X22:X30" si="3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63</v>
      </c>
      <c r="E23" s="172"/>
      <c r="F23" s="172"/>
      <c r="G23" s="172"/>
      <c r="H23" s="174">
        <v>0.58333333333333337</v>
      </c>
      <c r="I23" s="174">
        <v>0.59375</v>
      </c>
      <c r="J23" s="175">
        <f>I23-H23</f>
        <v>1.041666666666663E-2</v>
      </c>
      <c r="K23" s="178">
        <v>140</v>
      </c>
      <c r="L23" s="177" t="s">
        <v>129</v>
      </c>
      <c r="M23" s="178">
        <v>3.8</v>
      </c>
      <c r="N23" s="179">
        <v>1</v>
      </c>
      <c r="O23" s="186"/>
      <c r="P23" s="181"/>
      <c r="Q23" s="174"/>
      <c r="R23" s="172"/>
      <c r="S23" s="175">
        <f t="shared" si="0"/>
        <v>0</v>
      </c>
      <c r="U23" s="182">
        <f>+IFERROR(VLOOKUP(D23,Datos!$R$3:$T$19,3,FALSE), "0")*N23</f>
        <v>0.13519680547632629</v>
      </c>
      <c r="V23" s="183">
        <f t="shared" si="1"/>
        <v>532</v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52</v>
      </c>
      <c r="E24" s="172"/>
      <c r="F24" s="172"/>
      <c r="G24" s="172"/>
      <c r="H24" s="174">
        <v>0.61805555555555558</v>
      </c>
      <c r="I24" s="174">
        <v>0.78472222222222221</v>
      </c>
      <c r="J24" s="175">
        <f>I24-H24</f>
        <v>0.16666666666666663</v>
      </c>
      <c r="K24" s="178">
        <v>40</v>
      </c>
      <c r="L24" s="177" t="s">
        <v>126</v>
      </c>
      <c r="M24" s="178"/>
      <c r="N24" s="179">
        <v>0.4</v>
      </c>
      <c r="O24" s="186"/>
      <c r="P24" s="181"/>
      <c r="Q24" s="174"/>
      <c r="R24" s="174"/>
      <c r="S24" s="175"/>
      <c r="U24" s="182">
        <f>+IFERROR(VLOOKUP(D24,Datos!$R$3:$T$19,3,FALSE), "0")*N24</f>
        <v>2.7381631488876207E-2</v>
      </c>
      <c r="V24" s="183" t="str">
        <f t="shared" si="1"/>
        <v/>
      </c>
      <c r="W24" s="183" t="str">
        <f t="shared" si="2"/>
        <v/>
      </c>
      <c r="X24" s="183" t="str">
        <f t="shared" si="3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225"/>
      <c r="P25" s="181"/>
      <c r="Q25" s="174"/>
      <c r="R25" s="174"/>
      <c r="S25" s="175"/>
      <c r="U25" s="182">
        <f>+IFERROR(VLOOKUP(D25,Datos!$R$3:$T$19,3,FALSE), "0")*N25</f>
        <v>0</v>
      </c>
      <c r="V25" s="183" t="str">
        <f t="shared" si="1"/>
        <v/>
      </c>
      <c r="W25" s="183" t="str">
        <f t="shared" si="2"/>
        <v/>
      </c>
      <c r="X25" s="183" t="str">
        <f t="shared" si="3"/>
        <v/>
      </c>
    </row>
    <row r="26" spans="2:24" ht="38" customHeight="1" x14ac:dyDescent="0.3">
      <c r="B26" s="172"/>
      <c r="C26" s="173"/>
      <c r="D26" s="173" t="s">
        <v>110</v>
      </c>
      <c r="E26" s="172"/>
      <c r="F26" s="172"/>
      <c r="G26" s="172" t="s">
        <v>206</v>
      </c>
      <c r="H26" s="174">
        <v>0.47222222222222221</v>
      </c>
      <c r="I26" s="174">
        <v>0.51388888888888884</v>
      </c>
      <c r="J26" s="175">
        <f>I26-H26</f>
        <v>4.166666666666663E-2</v>
      </c>
      <c r="K26" s="178"/>
      <c r="L26" s="177"/>
      <c r="M26" s="178"/>
      <c r="N26" s="179"/>
      <c r="O26" s="186" t="s">
        <v>434</v>
      </c>
      <c r="P26" s="181"/>
      <c r="Q26" s="174"/>
      <c r="R26" s="174"/>
      <c r="S26" s="175"/>
      <c r="U26" s="182">
        <f>+IFERROR(VLOOKUP(D26,Datos!$R$3:$T$19,3,FALSE), "0")*N26</f>
        <v>0</v>
      </c>
      <c r="V26" s="183"/>
      <c r="W26" s="183"/>
      <c r="X26" s="183"/>
    </row>
    <row r="27" spans="2:24" ht="38" customHeight="1" x14ac:dyDescent="0.3">
      <c r="B27" s="172"/>
      <c r="C27" s="173"/>
      <c r="D27" s="173" t="s">
        <v>110</v>
      </c>
      <c r="E27" s="172"/>
      <c r="F27" s="172"/>
      <c r="G27" s="172" t="s">
        <v>213</v>
      </c>
      <c r="H27" s="174">
        <v>0.47222222222222221</v>
      </c>
      <c r="I27" s="174">
        <v>0.51388888888888884</v>
      </c>
      <c r="J27" s="175">
        <f>I27-H27</f>
        <v>4.166666666666663E-2</v>
      </c>
      <c r="K27" s="178"/>
      <c r="L27" s="177"/>
      <c r="M27" s="178"/>
      <c r="N27" s="179"/>
      <c r="O27" s="186" t="s">
        <v>434</v>
      </c>
      <c r="P27" s="181"/>
      <c r="Q27" s="174"/>
      <c r="R27" s="174"/>
      <c r="S27" s="175"/>
      <c r="U27" s="182">
        <f>+IFERROR(VLOOKUP(D27,Datos!$R$3:$T$19,3,FALSE), "0")*N27</f>
        <v>0</v>
      </c>
      <c r="V27" s="183"/>
      <c r="W27" s="183"/>
      <c r="X27" s="183"/>
    </row>
    <row r="28" spans="2:24" ht="38" customHeight="1" x14ac:dyDescent="0.3">
      <c r="B28" s="172"/>
      <c r="C28" s="173"/>
      <c r="D28" s="173" t="s">
        <v>110</v>
      </c>
      <c r="E28" s="172"/>
      <c r="F28" s="172"/>
      <c r="G28" s="172" t="s">
        <v>206</v>
      </c>
      <c r="H28" s="174">
        <v>0.58333333333333337</v>
      </c>
      <c r="I28" s="174">
        <v>0.66666666666666663</v>
      </c>
      <c r="J28" s="175">
        <f>I28-H28</f>
        <v>8.3333333333333259E-2</v>
      </c>
      <c r="K28" s="178"/>
      <c r="L28" s="177"/>
      <c r="M28" s="178"/>
      <c r="N28" s="179"/>
      <c r="O28" s="186" t="s">
        <v>435</v>
      </c>
      <c r="P28" s="181"/>
      <c r="Q28" s="174"/>
      <c r="R28" s="174"/>
      <c r="S28" s="175"/>
      <c r="U28" s="182">
        <f>+IFERROR(VLOOKUP(D28,Datos!$R$3:$T$19,3,FALSE), "0")*N28</f>
        <v>0</v>
      </c>
      <c r="V28" s="183"/>
      <c r="W28" s="183"/>
      <c r="X28" s="183"/>
    </row>
    <row r="29" spans="2:24" ht="37.75" customHeight="1" x14ac:dyDescent="0.3">
      <c r="B29" s="172"/>
      <c r="C29" s="173"/>
      <c r="D29" s="173" t="s">
        <v>110</v>
      </c>
      <c r="E29" s="172"/>
      <c r="F29" s="172"/>
      <c r="G29" s="172"/>
      <c r="H29" s="174">
        <v>0.33333333333333331</v>
      </c>
      <c r="I29" s="174">
        <v>0.83333333333333337</v>
      </c>
      <c r="J29" s="175">
        <f>I29-H29</f>
        <v>0.5</v>
      </c>
      <c r="K29" s="178"/>
      <c r="L29" s="177"/>
      <c r="M29" s="178"/>
      <c r="N29" s="179"/>
      <c r="O29" s="186" t="s">
        <v>436</v>
      </c>
      <c r="P29" s="181"/>
      <c r="Q29" s="174"/>
      <c r="R29" s="174"/>
      <c r="S29" s="175"/>
      <c r="U29" s="182">
        <f>+IFERROR(VLOOKUP(D29,Datos!$R$3:$T$19,3,FALSE), "0")*N29</f>
        <v>0</v>
      </c>
      <c r="V29" s="183" t="str">
        <f t="shared" si="1"/>
        <v/>
      </c>
      <c r="W29" s="183" t="str">
        <f t="shared" si="2"/>
        <v/>
      </c>
      <c r="X29" s="183" t="str">
        <f t="shared" si="3"/>
        <v/>
      </c>
    </row>
    <row r="30" spans="2:24" ht="38" customHeight="1" x14ac:dyDescent="0.3">
      <c r="B30" s="172"/>
      <c r="C30" s="173"/>
      <c r="D30" s="173"/>
      <c r="E30" s="172"/>
      <c r="F30" s="172"/>
      <c r="G30" s="172"/>
      <c r="H30" s="174"/>
      <c r="I30" s="174" t="s">
        <v>329</v>
      </c>
      <c r="J30" s="175">
        <f>MOD(I24-H21, 1)</f>
        <v>0.40972222222222221</v>
      </c>
      <c r="K30" s="178"/>
      <c r="L30" s="177"/>
      <c r="M30" s="178"/>
      <c r="N30" s="179"/>
      <c r="O30" s="186"/>
      <c r="P30" s="172"/>
      <c r="Q30" s="172"/>
      <c r="R30" s="172"/>
      <c r="S30" s="175">
        <f t="shared" si="0"/>
        <v>0</v>
      </c>
      <c r="U30" s="182">
        <f>SUM(U21:U29)</f>
        <v>0.17398745008556757</v>
      </c>
      <c r="V30" s="183" t="str">
        <f t="shared" si="1"/>
        <v/>
      </c>
      <c r="W30" s="183" t="str">
        <f t="shared" si="2"/>
        <v/>
      </c>
      <c r="X30" s="183" t="str">
        <f t="shared" si="3"/>
        <v/>
      </c>
    </row>
    <row r="31" spans="2:24" x14ac:dyDescent="0.3">
      <c r="B31" s="185" t="s">
        <v>158</v>
      </c>
      <c r="C31" s="63" t="s">
        <v>194</v>
      </c>
      <c r="D31" s="63"/>
      <c r="E31" s="63"/>
      <c r="F31" s="63"/>
      <c r="G31" s="63"/>
      <c r="H31" s="63"/>
      <c r="I31" s="63"/>
      <c r="J31" s="64"/>
      <c r="K31" s="64"/>
      <c r="L31" s="171"/>
      <c r="M31" s="63"/>
      <c r="N31" s="64"/>
      <c r="O31" s="64"/>
      <c r="P31" s="63"/>
      <c r="Q31" s="63"/>
      <c r="R31" s="63"/>
      <c r="S31" s="64"/>
      <c r="U31" s="63"/>
      <c r="V31" s="64"/>
      <c r="W31" s="64"/>
      <c r="X31" s="64"/>
    </row>
    <row r="32" spans="2:24" ht="52" x14ac:dyDescent="0.3">
      <c r="B32" s="63" t="s">
        <v>3</v>
      </c>
      <c r="C32" s="63" t="s">
        <v>2</v>
      </c>
      <c r="D32" s="63" t="s">
        <v>5</v>
      </c>
      <c r="E32" s="63" t="s">
        <v>22</v>
      </c>
      <c r="F32" s="63" t="s">
        <v>139</v>
      </c>
      <c r="G32" s="63" t="s">
        <v>29</v>
      </c>
      <c r="H32" s="63" t="s">
        <v>121</v>
      </c>
      <c r="I32" s="63" t="s">
        <v>4</v>
      </c>
      <c r="J32" s="64" t="s">
        <v>122</v>
      </c>
      <c r="K32" s="64" t="s">
        <v>131</v>
      </c>
      <c r="L32" s="171" t="s">
        <v>123</v>
      </c>
      <c r="M32" s="63" t="s">
        <v>134</v>
      </c>
      <c r="N32" s="64" t="s">
        <v>24</v>
      </c>
      <c r="O32" s="64" t="s">
        <v>130</v>
      </c>
      <c r="P32" s="63" t="s">
        <v>132</v>
      </c>
      <c r="Q32" s="63" t="s">
        <v>121</v>
      </c>
      <c r="R32" s="63" t="s">
        <v>4</v>
      </c>
      <c r="S32" s="64" t="s">
        <v>137</v>
      </c>
      <c r="U32" s="63" t="s">
        <v>109</v>
      </c>
      <c r="V32" s="64" t="s">
        <v>87</v>
      </c>
      <c r="W32" s="64" t="s">
        <v>128</v>
      </c>
      <c r="X32" s="64" t="s">
        <v>128</v>
      </c>
    </row>
    <row r="33" spans="2:24" ht="38" customHeight="1" x14ac:dyDescent="0.3">
      <c r="B33" s="172">
        <v>3700</v>
      </c>
      <c r="C33" s="173" t="str">
        <f>+Datos!$R$23</f>
        <v>Ciclo Minero 5,2 x 5,6 m
Galería Acceso Portal de Servicio</v>
      </c>
      <c r="D33" s="173" t="s">
        <v>110</v>
      </c>
      <c r="E33" s="172"/>
      <c r="F33" s="172"/>
      <c r="G33" s="172"/>
      <c r="H33" s="174">
        <v>0.33333333333333331</v>
      </c>
      <c r="I33" s="174">
        <v>0.83333333333333337</v>
      </c>
      <c r="J33" s="175">
        <f>I33-H33</f>
        <v>0.5</v>
      </c>
      <c r="K33" s="178"/>
      <c r="L33" s="177"/>
      <c r="M33" s="178"/>
      <c r="N33" s="179">
        <v>1</v>
      </c>
      <c r="O33" s="186" t="s">
        <v>428</v>
      </c>
      <c r="P33" s="225"/>
      <c r="Q33" s="174"/>
      <c r="R33" s="174"/>
      <c r="S33" s="175"/>
      <c r="U33" s="187">
        <f>+IFERROR(VLOOKUP(D33,Datos!$R$24:$T$40,3,FALSE), "0")*N33</f>
        <v>0</v>
      </c>
      <c r="V33" s="183" t="str">
        <f t="shared" ref="V33:V41" si="4">IF(OR(D33="Perforación de Fortificación", D33="Perforación de Avance", D33="Perforación Desquinche"), K33*M33, "")</f>
        <v/>
      </c>
      <c r="W33" s="183" t="str">
        <f>IF(D33="Extracción de Marina Disparo",K33,"")</f>
        <v/>
      </c>
      <c r="X33" s="183" t="str">
        <f t="shared" ref="X33:X41" si="5">IF(OR(D33="Shotcrete", D33="Pre Shotcrete"), K33, "")</f>
        <v/>
      </c>
    </row>
    <row r="34" spans="2:24" ht="38" customHeight="1" x14ac:dyDescent="0.3">
      <c r="B34" s="172">
        <v>3700</v>
      </c>
      <c r="C34" s="173" t="str">
        <f>+Datos!$R$23</f>
        <v>Ciclo Minero 5,2 x 5,6 m
Galería Acceso Portal de Servicio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225"/>
      <c r="P34" s="173"/>
      <c r="Q34" s="174"/>
      <c r="R34" s="174"/>
      <c r="S34" s="175"/>
      <c r="U34" s="187">
        <f>+IFERROR(VLOOKUP(D34,Datos!$R$24:$T$40,3,FALSE), "0")*N34</f>
        <v>0</v>
      </c>
      <c r="V34" s="183" t="str">
        <f t="shared" si="4"/>
        <v/>
      </c>
      <c r="W34" s="183" t="str">
        <f>IF(D34="Extracción de Marina Disparo",K34,"")</f>
        <v/>
      </c>
      <c r="X34" s="183" t="str">
        <f t="shared" si="5"/>
        <v/>
      </c>
    </row>
    <row r="35" spans="2:24" ht="53.4" customHeight="1" x14ac:dyDescent="0.3">
      <c r="B35" s="172">
        <v>3700</v>
      </c>
      <c r="C35" s="173" t="str">
        <f>+C33</f>
        <v>Ciclo Minero 5,2 x 5,6 m
Galería Acceso Portal de Servicio</v>
      </c>
      <c r="D35" s="173"/>
      <c r="E35" s="172"/>
      <c r="F35" s="172"/>
      <c r="G35" s="172"/>
      <c r="H35" s="174"/>
      <c r="I35" s="174"/>
      <c r="J35" s="175"/>
      <c r="K35" s="178"/>
      <c r="L35" s="177"/>
      <c r="M35" s="178"/>
      <c r="N35" s="179"/>
      <c r="O35" s="225"/>
      <c r="P35" s="181"/>
      <c r="Q35" s="174"/>
      <c r="R35" s="174"/>
      <c r="S35" s="175"/>
      <c r="U35" s="187">
        <f>+IFERROR(VLOOKUP(D35,Datos!$R$24:$T$40,3,FALSE), "0")*N35</f>
        <v>0</v>
      </c>
      <c r="V35" s="183" t="str">
        <f t="shared" si="4"/>
        <v/>
      </c>
      <c r="W35" s="183" t="str">
        <f t="shared" ref="W35:W41" si="6">IF(D35="Extracción de Marina Disparo",K35,"")</f>
        <v/>
      </c>
      <c r="X35" s="183" t="str">
        <f t="shared" si="5"/>
        <v/>
      </c>
    </row>
    <row r="36" spans="2:24" ht="38" customHeight="1" x14ac:dyDescent="0.3">
      <c r="B36" s="172">
        <v>3700</v>
      </c>
      <c r="C36" s="173" t="s">
        <v>397</v>
      </c>
      <c r="D36" s="173"/>
      <c r="E36" s="172"/>
      <c r="F36" s="172"/>
      <c r="G36" s="172"/>
      <c r="H36" s="174"/>
      <c r="I36" s="174"/>
      <c r="J36" s="175"/>
      <c r="K36" s="178"/>
      <c r="L36" s="177"/>
      <c r="M36" s="178"/>
      <c r="N36" s="179"/>
      <c r="O36" s="186"/>
      <c r="P36" s="172"/>
      <c r="Q36" s="172"/>
      <c r="R36" s="172"/>
      <c r="S36" s="175"/>
      <c r="U36" s="187">
        <f>+IFERROR(VLOOKUP(D36,Datos!$R$24:$T$40,3,FALSE), "0")*N36</f>
        <v>0</v>
      </c>
      <c r="V36" s="183" t="str">
        <f t="shared" si="4"/>
        <v/>
      </c>
      <c r="W36" s="183" t="str">
        <f t="shared" si="6"/>
        <v/>
      </c>
      <c r="X36" s="183"/>
    </row>
    <row r="37" spans="2:24" ht="38" customHeight="1" x14ac:dyDescent="0.3">
      <c r="B37" s="172">
        <v>3700</v>
      </c>
      <c r="C37" s="173" t="str">
        <f>+C36</f>
        <v>Fróntón Bodega</v>
      </c>
      <c r="D37" s="173"/>
      <c r="E37" s="172"/>
      <c r="F37" s="172"/>
      <c r="G37" s="172"/>
      <c r="H37" s="174"/>
      <c r="I37" s="174"/>
      <c r="J37" s="175"/>
      <c r="K37" s="178"/>
      <c r="L37" s="177"/>
      <c r="M37" s="178"/>
      <c r="N37" s="179"/>
      <c r="O37" s="186"/>
      <c r="P37" s="181"/>
      <c r="Q37" s="174"/>
      <c r="R37" s="174"/>
      <c r="S37" s="175"/>
      <c r="U37" s="187">
        <f>+IFERROR(VLOOKUP(D37,Datos!$R$24:$T$40,3,FALSE), "0")*N37</f>
        <v>0</v>
      </c>
      <c r="V37" s="183" t="str">
        <f t="shared" si="4"/>
        <v/>
      </c>
      <c r="W37" s="183" t="str">
        <f t="shared" si="6"/>
        <v/>
      </c>
      <c r="X37" s="183" t="str">
        <f t="shared" si="5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/>
      <c r="J38" s="175">
        <f>MOD(I38-H38, 1)</f>
        <v>0</v>
      </c>
      <c r="K38" s="178"/>
      <c r="L38" s="177"/>
      <c r="M38" s="178"/>
      <c r="N38" s="179"/>
      <c r="O38" s="225"/>
      <c r="P38" s="172"/>
      <c r="Q38" s="172"/>
      <c r="R38" s="172"/>
      <c r="S38" s="175">
        <f t="shared" ref="S38:S41" si="7">+MOD(R38-Q38,1)</f>
        <v>0</v>
      </c>
      <c r="U38" s="187">
        <f>+IFERROR(VLOOKUP(D38,Datos!$R$24:$T$40,3,FALSE), "0")*N38</f>
        <v>0</v>
      </c>
      <c r="V38" s="183" t="str">
        <f t="shared" si="4"/>
        <v/>
      </c>
      <c r="W38" s="183" t="str">
        <f t="shared" si="6"/>
        <v/>
      </c>
      <c r="X38" s="183" t="str">
        <f t="shared" si="5"/>
        <v/>
      </c>
    </row>
    <row r="39" spans="2:24" ht="38" customHeight="1" x14ac:dyDescent="0.3">
      <c r="B39" s="172"/>
      <c r="C39" s="173"/>
      <c r="D39" s="173"/>
      <c r="E39" s="172"/>
      <c r="F39" s="172"/>
      <c r="G39" s="172"/>
      <c r="H39" s="174"/>
      <c r="I39" s="174"/>
      <c r="J39" s="175">
        <f>MOD(I39-H39, 1)</f>
        <v>0</v>
      </c>
      <c r="K39" s="178"/>
      <c r="L39" s="177"/>
      <c r="M39" s="178"/>
      <c r="N39" s="179"/>
      <c r="O39" s="186"/>
      <c r="P39" s="172"/>
      <c r="Q39" s="172"/>
      <c r="R39" s="172"/>
      <c r="S39" s="175">
        <f t="shared" si="7"/>
        <v>0</v>
      </c>
      <c r="U39" s="187"/>
      <c r="V39" s="183" t="str">
        <f t="shared" si="4"/>
        <v/>
      </c>
      <c r="W39" s="183" t="str">
        <f t="shared" si="6"/>
        <v/>
      </c>
      <c r="X39" s="183" t="str">
        <f t="shared" si="5"/>
        <v/>
      </c>
    </row>
    <row r="40" spans="2:24" ht="38" customHeight="1" x14ac:dyDescent="0.3">
      <c r="B40" s="172"/>
      <c r="C40" s="173"/>
      <c r="D40" s="173"/>
      <c r="E40" s="172"/>
      <c r="F40" s="172"/>
      <c r="G40" s="172"/>
      <c r="H40" s="174"/>
      <c r="I40" s="174"/>
      <c r="J40" s="175">
        <f>MOD(I40-H40, 1)</f>
        <v>0</v>
      </c>
      <c r="K40" s="178"/>
      <c r="L40" s="177"/>
      <c r="M40" s="178"/>
      <c r="N40" s="179"/>
      <c r="O40" s="186"/>
      <c r="P40" s="172"/>
      <c r="Q40" s="172"/>
      <c r="R40" s="172"/>
      <c r="S40" s="175">
        <f t="shared" si="7"/>
        <v>0</v>
      </c>
      <c r="U40" s="187"/>
      <c r="V40" s="183" t="str">
        <f t="shared" si="4"/>
        <v/>
      </c>
      <c r="W40" s="183" t="str">
        <f t="shared" si="6"/>
        <v/>
      </c>
      <c r="X40" s="183" t="str">
        <f t="shared" si="5"/>
        <v/>
      </c>
    </row>
    <row r="41" spans="2:24" ht="38" customHeight="1" x14ac:dyDescent="0.3">
      <c r="B41" s="172"/>
      <c r="C41" s="173"/>
      <c r="D41" s="173"/>
      <c r="E41" s="172"/>
      <c r="F41" s="172"/>
      <c r="G41" s="172"/>
      <c r="H41" s="174"/>
      <c r="I41" s="174" t="s">
        <v>329</v>
      </c>
      <c r="J41" s="175">
        <v>0</v>
      </c>
      <c r="K41" s="178"/>
      <c r="L41" s="177"/>
      <c r="M41" s="178"/>
      <c r="N41" s="179"/>
      <c r="O41" s="186"/>
      <c r="P41" s="172"/>
      <c r="Q41" s="172"/>
      <c r="R41" s="172"/>
      <c r="S41" s="175">
        <f t="shared" si="7"/>
        <v>0</v>
      </c>
      <c r="U41" s="182">
        <f>SUM(U33:U40)</f>
        <v>0</v>
      </c>
      <c r="V41" s="183" t="str">
        <f t="shared" si="4"/>
        <v/>
      </c>
      <c r="W41" s="183" t="str">
        <f t="shared" si="6"/>
        <v/>
      </c>
      <c r="X41" s="183" t="str">
        <f t="shared" si="5"/>
        <v/>
      </c>
    </row>
    <row r="42" spans="2:24" ht="15.65" customHeight="1" thickBot="1" x14ac:dyDescent="0.35">
      <c r="B42" s="190"/>
      <c r="C42" s="190"/>
      <c r="D42" s="190"/>
      <c r="E42" s="190"/>
      <c r="F42" s="190"/>
      <c r="G42" s="190"/>
      <c r="H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</row>
    <row r="43" spans="2:24" ht="30" customHeight="1" thickBot="1" x14ac:dyDescent="0.35">
      <c r="B43" s="191"/>
      <c r="C43" s="446" t="s">
        <v>64</v>
      </c>
      <c r="D43" s="446"/>
      <c r="E43" s="192"/>
      <c r="F43" s="192"/>
      <c r="G43" s="431">
        <v>3500</v>
      </c>
      <c r="H43" s="432"/>
      <c r="I43" s="431">
        <v>3700</v>
      </c>
      <c r="J43" s="432"/>
      <c r="K43" s="433" t="s">
        <v>146</v>
      </c>
      <c r="L43" s="434"/>
      <c r="M43" s="190"/>
      <c r="N43" s="190"/>
      <c r="O43" s="190"/>
      <c r="P43" s="190"/>
      <c r="Q43" s="190"/>
      <c r="R43" s="190"/>
      <c r="S43" s="190"/>
    </row>
    <row r="44" spans="2:24" ht="30" customHeight="1" x14ac:dyDescent="0.3">
      <c r="C44" s="194" t="s">
        <v>48</v>
      </c>
      <c r="D44" s="195">
        <f>SUMPRODUCT((LEFT(F21:F38, 1)="C") / (COUNTIF(F21:F38, F21:F38 &amp; "") + (F21:F38="")))</f>
        <v>0</v>
      </c>
      <c r="E44" s="447" t="s">
        <v>90</v>
      </c>
      <c r="F44" s="447"/>
      <c r="G44" s="196">
        <v>0.26041666666666669</v>
      </c>
      <c r="H44" s="197" t="s">
        <v>23</v>
      </c>
      <c r="I44" s="196">
        <v>0.26041666666666669</v>
      </c>
      <c r="J44" s="197" t="s">
        <v>23</v>
      </c>
      <c r="K44" s="198">
        <f>+G44</f>
        <v>0.26041666666666669</v>
      </c>
      <c r="L44" s="197" t="s">
        <v>23</v>
      </c>
      <c r="M44" s="190"/>
      <c r="N44" s="190"/>
      <c r="O44" s="190"/>
      <c r="P44" s="190"/>
      <c r="Q44" s="190"/>
      <c r="R44" s="190"/>
      <c r="S44" s="190"/>
    </row>
    <row r="45" spans="2:24" x14ac:dyDescent="0.3">
      <c r="C45" s="194" t="s">
        <v>49</v>
      </c>
      <c r="D45" s="195">
        <f>SUMPRODUCT((LEFT(F21:F38, 1)="O") / (COUNTIF(F21:F38, F21:F38 &amp; "") + (F21:F38="")))</f>
        <v>0</v>
      </c>
      <c r="E45" s="448" t="s">
        <v>198</v>
      </c>
      <c r="F45" s="448"/>
      <c r="G45" s="199">
        <f>SUM(J21:J29)</f>
        <v>1.0173611111111109</v>
      </c>
      <c r="H45" s="200">
        <f>+G45*24/($G$44*24)</f>
        <v>3.9066666666666663</v>
      </c>
      <c r="I45" s="199">
        <f>SUM(J33:J38)</f>
        <v>0.5</v>
      </c>
      <c r="J45" s="200">
        <f>+I45*24/($I$44*24)</f>
        <v>1.92</v>
      </c>
      <c r="K45" s="201">
        <f>AVERAGE(G45+I45)/2</f>
        <v>0.75868055555555547</v>
      </c>
      <c r="L45" s="200">
        <f>+K45*24/($K$44*24)</f>
        <v>2.9133333333333331</v>
      </c>
      <c r="M45" s="190"/>
      <c r="N45" s="190"/>
      <c r="O45" s="190"/>
      <c r="P45" s="190"/>
      <c r="Q45" s="190"/>
      <c r="R45" s="190"/>
      <c r="S45" s="190"/>
    </row>
    <row r="46" spans="2:24" ht="43.25" customHeight="1" thickBot="1" x14ac:dyDescent="0.35">
      <c r="E46" s="448" t="s">
        <v>94</v>
      </c>
      <c r="F46" s="448"/>
      <c r="G46" s="202"/>
      <c r="H46" s="203">
        <f>+AVERAGE(N21:N30)</f>
        <v>0.85</v>
      </c>
      <c r="I46" s="202"/>
      <c r="J46" s="203">
        <f>+AVERAGE(N33:N38)</f>
        <v>1</v>
      </c>
      <c r="K46" s="204"/>
      <c r="L46" s="203">
        <f>+AVERAGE(N21:N38)</f>
        <v>0.88000000000000012</v>
      </c>
    </row>
    <row r="47" spans="2:24" ht="43.25" customHeight="1" x14ac:dyDescent="0.3">
      <c r="E47" s="205"/>
      <c r="F47" s="205"/>
      <c r="G47" s="206"/>
      <c r="H47" s="206"/>
      <c r="I47" s="137"/>
      <c r="J47" s="137"/>
      <c r="K47" s="137"/>
      <c r="L47" s="137"/>
    </row>
    <row r="48" spans="2:24" ht="43.25" customHeight="1" x14ac:dyDescent="0.3">
      <c r="E48" s="194"/>
      <c r="F48" s="194"/>
      <c r="G48" s="207"/>
      <c r="H48" s="208" t="s">
        <v>24</v>
      </c>
      <c r="I48" s="208" t="s">
        <v>199</v>
      </c>
      <c r="J48" s="208" t="s">
        <v>201</v>
      </c>
      <c r="K48" s="208" t="s">
        <v>404</v>
      </c>
      <c r="L48" s="345" t="s">
        <v>484</v>
      </c>
      <c r="M48" s="345" t="s">
        <v>485</v>
      </c>
      <c r="N48" s="208"/>
    </row>
    <row r="49" spans="2:13" ht="14.5" x14ac:dyDescent="0.35">
      <c r="E49" s="445" t="s">
        <v>174</v>
      </c>
      <c r="F49" s="445"/>
      <c r="G49" s="445"/>
      <c r="H49" s="209">
        <f>+U41</f>
        <v>0</v>
      </c>
      <c r="I49" s="298">
        <f>+H49*$J$49*$K$49</f>
        <v>0</v>
      </c>
      <c r="J49" s="298">
        <v>6.6</v>
      </c>
      <c r="K49" s="246">
        <v>3.42</v>
      </c>
      <c r="L49" s="344">
        <v>56.080975609756102</v>
      </c>
      <c r="M49" s="344">
        <f>+L49*K49*H49</f>
        <v>0</v>
      </c>
    </row>
    <row r="50" spans="2:13" ht="14.4" customHeight="1" x14ac:dyDescent="0.35">
      <c r="E50" s="445" t="s">
        <v>224</v>
      </c>
      <c r="F50" s="445"/>
      <c r="G50" s="445"/>
      <c r="H50" s="209"/>
      <c r="I50" s="298">
        <f>+J50*K50</f>
        <v>0</v>
      </c>
      <c r="J50" s="298">
        <f>1892/1000000</f>
        <v>1.892E-3</v>
      </c>
      <c r="K50" s="246">
        <f>+((15*4.4)*2.72)*0</f>
        <v>0</v>
      </c>
      <c r="L50" s="346">
        <v>1.6919982016368774E-2</v>
      </c>
      <c r="M50" s="344">
        <f>+L50*K50</f>
        <v>0</v>
      </c>
    </row>
    <row r="51" spans="2:13" ht="14.4" customHeight="1" x14ac:dyDescent="0.35">
      <c r="E51" s="445" t="s">
        <v>359</v>
      </c>
      <c r="F51" s="445"/>
      <c r="G51" s="445"/>
      <c r="H51" s="209"/>
      <c r="I51" s="298">
        <f>+J51*K51</f>
        <v>0</v>
      </c>
      <c r="J51" s="298">
        <v>0.340368</v>
      </c>
      <c r="K51" s="246">
        <v>0</v>
      </c>
      <c r="L51" s="346">
        <v>2.2358937544867188</v>
      </c>
      <c r="M51" s="344">
        <f>+L51*K51</f>
        <v>0</v>
      </c>
    </row>
    <row r="52" spans="2:13" ht="14.4" customHeight="1" x14ac:dyDescent="0.35">
      <c r="E52" s="445" t="s">
        <v>376</v>
      </c>
      <c r="F52" s="445"/>
      <c r="G52" s="445"/>
      <c r="H52" s="209">
        <v>0</v>
      </c>
      <c r="I52" s="298">
        <f>+H52*$J$52*$K$52</f>
        <v>0</v>
      </c>
      <c r="J52" s="298">
        <f>23683234/1000000</f>
        <v>23.683233999999999</v>
      </c>
      <c r="K52" s="226">
        <v>0</v>
      </c>
      <c r="L52" s="346">
        <v>254.98967741935485</v>
      </c>
      <c r="M52" s="344">
        <f>+L52*K52*H52</f>
        <v>0</v>
      </c>
    </row>
    <row r="53" spans="2:13" ht="14.4" customHeight="1" x14ac:dyDescent="0.35">
      <c r="E53" s="445" t="s">
        <v>236</v>
      </c>
      <c r="F53" s="445"/>
      <c r="G53" s="445"/>
      <c r="H53" s="209"/>
      <c r="I53" s="298">
        <f>+J53*K53</f>
        <v>0</v>
      </c>
      <c r="J53" s="298">
        <f>25508/1000000</f>
        <v>2.5507999999999999E-2</v>
      </c>
      <c r="K53" s="246">
        <f>7/(0.05)*0</f>
        <v>0</v>
      </c>
      <c r="L53" s="347" t="s">
        <v>486</v>
      </c>
      <c r="M53" s="349"/>
    </row>
    <row r="54" spans="2:13" ht="14.4" customHeight="1" x14ac:dyDescent="0.35">
      <c r="E54" s="445" t="s">
        <v>451</v>
      </c>
      <c r="F54" s="445"/>
      <c r="G54" s="445"/>
      <c r="H54" s="209">
        <v>1</v>
      </c>
      <c r="I54" s="298">
        <f>H54*J54</f>
        <v>7.9892054999999997</v>
      </c>
      <c r="J54" s="298">
        <f>15978411/2000000</f>
        <v>7.9892054999999997</v>
      </c>
      <c r="K54" s="246"/>
      <c r="L54" s="347" t="s">
        <v>486</v>
      </c>
      <c r="M54" s="344"/>
    </row>
    <row r="55" spans="2:13" ht="14.4" customHeight="1" x14ac:dyDescent="0.35">
      <c r="E55" s="445" t="s">
        <v>298</v>
      </c>
      <c r="F55" s="445"/>
      <c r="G55" s="445"/>
      <c r="H55" s="209"/>
      <c r="I55" s="210">
        <f>SUM(I49:I54)</f>
        <v>7.9892054999999997</v>
      </c>
      <c r="J55" s="214"/>
      <c r="K55" s="246"/>
      <c r="L55" s="344"/>
      <c r="M55" s="344"/>
    </row>
    <row r="56" spans="2:13" ht="14.4" customHeight="1" x14ac:dyDescent="0.35">
      <c r="E56" s="227"/>
      <c r="F56" s="227"/>
      <c r="G56" s="227"/>
      <c r="H56" s="209"/>
      <c r="I56" s="210"/>
      <c r="J56" s="214"/>
      <c r="K56" s="246"/>
      <c r="L56" s="344"/>
      <c r="M56" s="344"/>
    </row>
    <row r="57" spans="2:13" ht="14.4" customHeight="1" x14ac:dyDescent="0.35">
      <c r="E57" s="445" t="s">
        <v>175</v>
      </c>
      <c r="F57" s="445"/>
      <c r="G57" s="445"/>
      <c r="H57" s="209">
        <f>+U30</f>
        <v>0.17398745008556757</v>
      </c>
      <c r="I57" s="210">
        <f>+H57*$J$57*$K$57</f>
        <v>7.0214375356531651</v>
      </c>
      <c r="J57" s="211">
        <v>11.8</v>
      </c>
      <c r="K57" s="246">
        <v>3.42</v>
      </c>
      <c r="L57" s="344">
        <v>118.52055555555555</v>
      </c>
      <c r="M57" s="344">
        <f>+L57*K57*H57</f>
        <v>70.524125213918978</v>
      </c>
    </row>
    <row r="58" spans="2:13" ht="14.4" customHeight="1" x14ac:dyDescent="0.35">
      <c r="E58" s="445" t="s">
        <v>225</v>
      </c>
      <c r="F58" s="445"/>
      <c r="G58" s="445"/>
      <c r="H58" s="209"/>
      <c r="I58" s="210">
        <f>+J58*K58</f>
        <v>0</v>
      </c>
      <c r="J58" s="296">
        <f>+J50*0</f>
        <v>0</v>
      </c>
      <c r="K58" s="215">
        <f>+((15*2.8)*2.72)*K29</f>
        <v>0</v>
      </c>
      <c r="L58" s="346">
        <v>1.6919982016368774E-2</v>
      </c>
      <c r="M58" s="344">
        <f>+L58*K58</f>
        <v>0</v>
      </c>
    </row>
    <row r="59" spans="2:13" ht="14.4" customHeight="1" x14ac:dyDescent="0.35">
      <c r="E59" s="445" t="s">
        <v>450</v>
      </c>
      <c r="F59" s="445"/>
      <c r="G59" s="445"/>
      <c r="H59" s="209">
        <f>4/(6.15*2)</f>
        <v>0.32520325203252032</v>
      </c>
      <c r="I59" s="210">
        <f>H59*J59</f>
        <v>1.1882637398373983</v>
      </c>
      <c r="J59" s="296">
        <f>3653911/1000000</f>
        <v>3.6539109999999999</v>
      </c>
      <c r="K59" s="215"/>
      <c r="L59" s="347" t="s">
        <v>486</v>
      </c>
      <c r="M59" s="349"/>
    </row>
    <row r="60" spans="2:13" ht="14.4" customHeight="1" x14ac:dyDescent="0.3">
      <c r="E60" s="445" t="s">
        <v>297</v>
      </c>
      <c r="F60" s="445"/>
      <c r="G60" s="445"/>
      <c r="H60" s="209"/>
      <c r="I60" s="210">
        <f>SUM(I57:I59)</f>
        <v>8.2097012754905627</v>
      </c>
      <c r="J60" s="214"/>
      <c r="K60" s="246"/>
      <c r="L60" s="213"/>
      <c r="M60" s="352">
        <f>SUM(M49:M59)</f>
        <v>70.524125213918978</v>
      </c>
    </row>
    <row r="61" spans="2:13" ht="14.4" customHeight="1" x14ac:dyDescent="0.3">
      <c r="E61" s="227"/>
      <c r="F61" s="227"/>
      <c r="G61" s="227"/>
      <c r="H61" s="209"/>
      <c r="I61" s="210"/>
      <c r="J61" s="214"/>
      <c r="K61" s="246"/>
      <c r="L61" s="213"/>
    </row>
    <row r="62" spans="2:13" ht="14.4" customHeight="1" x14ac:dyDescent="0.3">
      <c r="L62" s="213"/>
    </row>
    <row r="63" spans="2:13" ht="7.75" customHeight="1" thickBot="1" x14ac:dyDescent="0.35"/>
    <row r="64" spans="2:13" ht="30" customHeight="1" thickBot="1" x14ac:dyDescent="0.35">
      <c r="B64" s="191"/>
      <c r="C64" s="446" t="s">
        <v>88</v>
      </c>
      <c r="D64" s="446"/>
      <c r="E64" s="192"/>
      <c r="F64" s="192"/>
      <c r="G64" s="192"/>
      <c r="H64" s="192"/>
      <c r="I64" s="216"/>
      <c r="J64" s="193"/>
    </row>
    <row r="65" spans="2:10" ht="38" customHeight="1" x14ac:dyDescent="0.3">
      <c r="C65" s="217" t="s">
        <v>89</v>
      </c>
      <c r="D65" s="195">
        <f>SUMPRODUCT((LEFT(G21:G38, 5)="Jumbo") / (COUNTIF(G21:G38, G21:G38 &amp; "") + (G21:G38="")))</f>
        <v>0</v>
      </c>
      <c r="E65" s="447" t="s">
        <v>90</v>
      </c>
      <c r="F65" s="447"/>
      <c r="G65" s="218">
        <v>0.20833333333333334</v>
      </c>
      <c r="I65" s="139"/>
      <c r="J65" s="190"/>
    </row>
    <row r="66" spans="2:10" ht="38" customHeight="1" x14ac:dyDescent="0.3">
      <c r="E66" s="447" t="s">
        <v>93</v>
      </c>
      <c r="F66" s="447"/>
      <c r="G66" s="195">
        <f>15000/(60)</f>
        <v>250</v>
      </c>
      <c r="H66" s="219" t="s">
        <v>143</v>
      </c>
      <c r="I66" s="139"/>
      <c r="J66" s="190"/>
    </row>
    <row r="67" spans="2:10" ht="38" customHeight="1" x14ac:dyDescent="0.3">
      <c r="E67" s="448" t="s">
        <v>91</v>
      </c>
      <c r="F67" s="448"/>
      <c r="G67" s="207" t="e">
        <f>+SUM(SUMIF($G$21:$G$38, "Jumbo*", $J$21:$J$38))/SUMPRODUCT((LEFT(G21:G38, 5)="Jumbo") / (COUNTIF(G21:G38, G21:G38 &amp; "") + (G21:G38="")))</f>
        <v>#DIV/0!</v>
      </c>
      <c r="H67" s="220" t="e">
        <f>+G67*24/($G$65*24)</f>
        <v>#DIV/0!</v>
      </c>
      <c r="I67" s="190"/>
      <c r="J67" s="190"/>
    </row>
    <row r="68" spans="2:10" ht="38" customHeight="1" x14ac:dyDescent="0.3">
      <c r="E68" s="448" t="s">
        <v>92</v>
      </c>
      <c r="F68" s="448"/>
      <c r="G68" s="221" t="e">
        <f>+SUM(V21:V38)/D65</f>
        <v>#DIV/0!</v>
      </c>
      <c r="H68" s="220" t="e">
        <f>+G68/G66</f>
        <v>#DIV/0!</v>
      </c>
      <c r="I68" s="190"/>
      <c r="J68" s="190"/>
    </row>
    <row r="69" spans="2:10" ht="38" customHeight="1" x14ac:dyDescent="0.3">
      <c r="G69" s="222" t="s">
        <v>87</v>
      </c>
      <c r="H69" s="139" t="s">
        <v>23</v>
      </c>
    </row>
    <row r="70" spans="2:10" ht="20" customHeight="1" x14ac:dyDescent="0.3">
      <c r="F70" s="208" t="s">
        <v>65</v>
      </c>
      <c r="G70" s="221">
        <f t="shared" ref="G70:G75" si="8" xml:space="preserve"> SUMIF($G$21:$G$38, +F70,$V$21:$V$38)</f>
        <v>0</v>
      </c>
      <c r="H70" s="220">
        <f t="shared" ref="H70:H75" si="9">+G70/$G$66</f>
        <v>0</v>
      </c>
    </row>
    <row r="71" spans="2:10" ht="20" customHeight="1" x14ac:dyDescent="0.3">
      <c r="F71" s="208" t="s">
        <v>66</v>
      </c>
      <c r="G71" s="221">
        <f t="shared" si="8"/>
        <v>0</v>
      </c>
      <c r="H71" s="220">
        <f t="shared" si="9"/>
        <v>0</v>
      </c>
    </row>
    <row r="72" spans="2:10" ht="20" customHeight="1" x14ac:dyDescent="0.3">
      <c r="F72" s="208" t="s">
        <v>67</v>
      </c>
      <c r="G72" s="221">
        <f t="shared" si="8"/>
        <v>0</v>
      </c>
      <c r="H72" s="220">
        <f t="shared" si="9"/>
        <v>0</v>
      </c>
    </row>
    <row r="73" spans="2:10" ht="20" customHeight="1" x14ac:dyDescent="0.3">
      <c r="F73" s="208" t="s">
        <v>68</v>
      </c>
      <c r="G73" s="221">
        <f t="shared" si="8"/>
        <v>0</v>
      </c>
      <c r="H73" s="220">
        <f t="shared" si="9"/>
        <v>0</v>
      </c>
    </row>
    <row r="74" spans="2:10" ht="20" customHeight="1" x14ac:dyDescent="0.3">
      <c r="F74" s="208" t="s">
        <v>69</v>
      </c>
      <c r="G74" s="221">
        <f t="shared" si="8"/>
        <v>0</v>
      </c>
      <c r="H74" s="220">
        <f t="shared" si="9"/>
        <v>0</v>
      </c>
    </row>
    <row r="75" spans="2:10" ht="20" customHeight="1" x14ac:dyDescent="0.3">
      <c r="F75" s="208" t="s">
        <v>70</v>
      </c>
      <c r="G75" s="221">
        <f t="shared" si="8"/>
        <v>0</v>
      </c>
      <c r="H75" s="220">
        <f t="shared" si="9"/>
        <v>0</v>
      </c>
    </row>
    <row r="76" spans="2:10" ht="20" customHeight="1" x14ac:dyDescent="0.3">
      <c r="F76" s="208" t="s">
        <v>146</v>
      </c>
      <c r="G76" s="223">
        <f>+SUM(G70:G75)</f>
        <v>0</v>
      </c>
      <c r="H76" s="220" t="e">
        <f>+G76/($G$66*$D$65)</f>
        <v>#DIV/0!</v>
      </c>
    </row>
    <row r="77" spans="2:10" ht="13.5" thickBot="1" x14ac:dyDescent="0.35"/>
    <row r="78" spans="2:10" ht="30" customHeight="1" thickBot="1" x14ac:dyDescent="0.35">
      <c r="B78" s="191"/>
      <c r="C78" s="446" t="s">
        <v>107</v>
      </c>
      <c r="D78" s="446"/>
      <c r="E78" s="192"/>
      <c r="F78" s="192"/>
      <c r="G78" s="192"/>
      <c r="H78" s="192"/>
      <c r="I78" s="216"/>
      <c r="J78" s="193"/>
    </row>
    <row r="79" spans="2:10" ht="38" customHeight="1" x14ac:dyDescent="0.3">
      <c r="C79" s="208" t="s">
        <v>95</v>
      </c>
      <c r="D79" s="195">
        <f>SUMPRODUCT((LEFT(G21:G38, 5)="Scoop") / (COUNTIF(G21:G38, G21:G38 &amp; "") + (G21:G38="")))</f>
        <v>1</v>
      </c>
      <c r="E79" s="447" t="s">
        <v>90</v>
      </c>
      <c r="F79" s="447"/>
      <c r="G79" s="218">
        <v>0.20833333333333334</v>
      </c>
      <c r="I79" s="139"/>
      <c r="J79" s="190"/>
    </row>
    <row r="80" spans="2:10" ht="38" customHeight="1" x14ac:dyDescent="0.3">
      <c r="C80" s="208" t="s">
        <v>145</v>
      </c>
      <c r="D80" s="195">
        <v>4.9000000000000004</v>
      </c>
      <c r="E80" s="447" t="s">
        <v>97</v>
      </c>
      <c r="F80" s="447"/>
      <c r="G80" s="195">
        <f>15000/(60)</f>
        <v>250</v>
      </c>
      <c r="H80" s="219" t="s">
        <v>23</v>
      </c>
      <c r="I80" s="139"/>
      <c r="J80" s="190"/>
    </row>
    <row r="81" spans="2:10" ht="38" customHeight="1" x14ac:dyDescent="0.3">
      <c r="E81" s="448" t="s">
        <v>98</v>
      </c>
      <c r="F81" s="448"/>
      <c r="G81" s="207">
        <f>+SUM(SUMIF($G$21:$G$38, "Scoop*", $J$21:$J$38))/SUMPRODUCT((LEFT(G21:G38, 5)="Scoop") / (COUNTIF(G21:G38, G21:G38 &amp; "") + (G21:G38="")))</f>
        <v>0.14583333333333331</v>
      </c>
      <c r="H81" s="220">
        <f>+G81*24/($G$79*24)</f>
        <v>0.7</v>
      </c>
      <c r="I81" s="190"/>
      <c r="J81" s="190"/>
    </row>
    <row r="82" spans="2:10" ht="38" customHeight="1" x14ac:dyDescent="0.3">
      <c r="E82" s="448" t="s">
        <v>99</v>
      </c>
      <c r="F82" s="448"/>
      <c r="G82" s="221">
        <f>+SUM(W21:W38)*D80/D79</f>
        <v>0</v>
      </c>
      <c r="H82" s="220">
        <f>+G82/G80</f>
        <v>0</v>
      </c>
      <c r="I82" s="190"/>
      <c r="J82" s="190"/>
    </row>
    <row r="83" spans="2:10" ht="38" customHeight="1" x14ac:dyDescent="0.3">
      <c r="G83" s="222" t="s">
        <v>96</v>
      </c>
      <c r="H83" s="139" t="s">
        <v>23</v>
      </c>
    </row>
    <row r="84" spans="2:10" ht="20" customHeight="1" x14ac:dyDescent="0.3">
      <c r="F84" s="208" t="s">
        <v>71</v>
      </c>
      <c r="G84" s="221">
        <f t="shared" ref="G84:G89" si="10" xml:space="preserve"> SUMIF($G$21:$G$38, +F84,$W$21:$W$38)*$D$80</f>
        <v>0</v>
      </c>
      <c r="H84" s="220">
        <f>+G84/$G$80</f>
        <v>0</v>
      </c>
    </row>
    <row r="85" spans="2:10" ht="20" customHeight="1" x14ac:dyDescent="0.3">
      <c r="F85" s="208" t="s">
        <v>72</v>
      </c>
      <c r="G85" s="221">
        <f t="shared" si="10"/>
        <v>0</v>
      </c>
      <c r="H85" s="220">
        <f t="shared" ref="H85:H90" si="11">+G85/$G$80</f>
        <v>0</v>
      </c>
    </row>
    <row r="86" spans="2:10" ht="20" customHeight="1" x14ac:dyDescent="0.3">
      <c r="F86" s="208" t="s">
        <v>73</v>
      </c>
      <c r="G86" s="221">
        <f t="shared" si="10"/>
        <v>0</v>
      </c>
      <c r="H86" s="220">
        <f t="shared" si="11"/>
        <v>0</v>
      </c>
    </row>
    <row r="87" spans="2:10" ht="20" customHeight="1" x14ac:dyDescent="0.3">
      <c r="F87" s="208" t="s">
        <v>74</v>
      </c>
      <c r="G87" s="221">
        <f t="shared" si="10"/>
        <v>0</v>
      </c>
      <c r="H87" s="220">
        <f t="shared" si="11"/>
        <v>0</v>
      </c>
    </row>
    <row r="88" spans="2:10" ht="20" customHeight="1" x14ac:dyDescent="0.3">
      <c r="F88" s="208" t="s">
        <v>75</v>
      </c>
      <c r="G88" s="221">
        <f t="shared" si="10"/>
        <v>0</v>
      </c>
      <c r="H88" s="220">
        <f t="shared" si="11"/>
        <v>0</v>
      </c>
    </row>
    <row r="89" spans="2:10" ht="20" customHeight="1" x14ac:dyDescent="0.3">
      <c r="F89" s="208" t="s">
        <v>76</v>
      </c>
      <c r="G89" s="221">
        <f t="shared" si="10"/>
        <v>0</v>
      </c>
      <c r="H89" s="220">
        <f t="shared" si="11"/>
        <v>0</v>
      </c>
    </row>
    <row r="90" spans="2:10" ht="20" customHeight="1" x14ac:dyDescent="0.3">
      <c r="F90" s="208" t="s">
        <v>146</v>
      </c>
      <c r="G90" s="223">
        <f>+SUM(G84:G89)</f>
        <v>0</v>
      </c>
      <c r="H90" s="220">
        <f t="shared" si="11"/>
        <v>0</v>
      </c>
    </row>
    <row r="91" spans="2:10" ht="13.5" thickBot="1" x14ac:dyDescent="0.35"/>
    <row r="92" spans="2:10" ht="30" customHeight="1" thickBot="1" x14ac:dyDescent="0.35">
      <c r="B92" s="191"/>
      <c r="C92" s="446" t="s">
        <v>149</v>
      </c>
      <c r="D92" s="446"/>
      <c r="E92" s="192"/>
      <c r="F92" s="192"/>
      <c r="G92" s="192"/>
      <c r="H92" s="192"/>
      <c r="I92" s="216"/>
      <c r="J92" s="193"/>
    </row>
    <row r="93" spans="2:10" ht="25.25" customHeight="1" x14ac:dyDescent="0.3">
      <c r="C93" s="208" t="s">
        <v>150</v>
      </c>
      <c r="D93" s="195">
        <f>SUMPRODUCT((LEFT(G21:G38, 8)="Roboshot") / (COUNTIF(G21:G38, G21:G38 &amp; "") + (G21:G38="")))</f>
        <v>0</v>
      </c>
      <c r="E93" s="447" t="s">
        <v>90</v>
      </c>
      <c r="F93" s="447"/>
      <c r="G93" s="218">
        <v>0.20833333333333334</v>
      </c>
    </row>
    <row r="94" spans="2:10" x14ac:dyDescent="0.3">
      <c r="C94" s="208"/>
      <c r="D94" s="195"/>
      <c r="E94" s="447" t="s">
        <v>97</v>
      </c>
      <c r="F94" s="447"/>
      <c r="G94" s="195">
        <v>12</v>
      </c>
      <c r="H94" s="219" t="s">
        <v>23</v>
      </c>
    </row>
    <row r="96" spans="2:10" x14ac:dyDescent="0.3">
      <c r="G96" s="222" t="s">
        <v>96</v>
      </c>
      <c r="H96" s="139" t="s">
        <v>23</v>
      </c>
    </row>
    <row r="97" spans="6:8" x14ac:dyDescent="0.3">
      <c r="F97" s="208" t="s">
        <v>77</v>
      </c>
      <c r="G97" s="221">
        <f xml:space="preserve"> SUMIF($G$21:$G$38, +F97,$X$21:$X$38)</f>
        <v>0</v>
      </c>
      <c r="H97" s="220">
        <f>+G97/$G$94</f>
        <v>0</v>
      </c>
    </row>
    <row r="98" spans="6:8" x14ac:dyDescent="0.3">
      <c r="F98" s="208" t="s">
        <v>78</v>
      </c>
      <c r="G98" s="221">
        <f xml:space="preserve"> SUMIF($G$21:$G$38, +F98,$X$21:$X$38)</f>
        <v>0</v>
      </c>
      <c r="H98" s="220">
        <f t="shared" ref="H98:H99" si="12">+G98/$G$94</f>
        <v>0</v>
      </c>
    </row>
    <row r="99" spans="6:8" x14ac:dyDescent="0.3">
      <c r="F99" s="208" t="s">
        <v>79</v>
      </c>
      <c r="G99" s="221">
        <f xml:space="preserve"> SUMIF($G$21:$G$38, +F99,$X$21:$X$38)</f>
        <v>0</v>
      </c>
      <c r="H99" s="220">
        <f t="shared" si="12"/>
        <v>0</v>
      </c>
    </row>
    <row r="100" spans="6:8" x14ac:dyDescent="0.3">
      <c r="F100" s="208" t="s">
        <v>146</v>
      </c>
      <c r="G100" s="223">
        <f>+SUM(G97:G99)</f>
        <v>0</v>
      </c>
      <c r="H100" s="220">
        <f>+G100/$G$94</f>
        <v>0</v>
      </c>
    </row>
  </sheetData>
  <mergeCells count="42">
    <mergeCell ref="K8:L8"/>
    <mergeCell ref="B1:D4"/>
    <mergeCell ref="E2:R2"/>
    <mergeCell ref="E3:R4"/>
    <mergeCell ref="K6:L6"/>
    <mergeCell ref="K7:L7"/>
    <mergeCell ref="E51:G51"/>
    <mergeCell ref="K9:L9"/>
    <mergeCell ref="K10:L10"/>
    <mergeCell ref="K11:L11"/>
    <mergeCell ref="K12:L12"/>
    <mergeCell ref="B14:S14"/>
    <mergeCell ref="C43:D43"/>
    <mergeCell ref="G43:H43"/>
    <mergeCell ref="I43:J43"/>
    <mergeCell ref="K43:L43"/>
    <mergeCell ref="E44:F44"/>
    <mergeCell ref="E45:F45"/>
    <mergeCell ref="E46:F46"/>
    <mergeCell ref="E49:G49"/>
    <mergeCell ref="E50:G50"/>
    <mergeCell ref="E52:G52"/>
    <mergeCell ref="E53:G53"/>
    <mergeCell ref="E55:G55"/>
    <mergeCell ref="E57:G57"/>
    <mergeCell ref="E58:G58"/>
    <mergeCell ref="C92:D92"/>
    <mergeCell ref="E93:F93"/>
    <mergeCell ref="C64:D64"/>
    <mergeCell ref="E65:F65"/>
    <mergeCell ref="E66:F66"/>
    <mergeCell ref="E67:F67"/>
    <mergeCell ref="E68:F68"/>
    <mergeCell ref="C78:D78"/>
    <mergeCell ref="E94:F94"/>
    <mergeCell ref="E54:G54"/>
    <mergeCell ref="E59:G59"/>
    <mergeCell ref="E79:F79"/>
    <mergeCell ref="E80:F80"/>
    <mergeCell ref="E81:F81"/>
    <mergeCell ref="E82:F82"/>
    <mergeCell ref="E60:G60"/>
  </mergeCells>
  <conditionalFormatting sqref="H45:H46 J45:J46">
    <cfRule type="cellIs" dxfId="587" priority="13" operator="greaterThan">
      <formula>0.9</formula>
    </cfRule>
    <cfRule type="cellIs" dxfId="586" priority="14" operator="between">
      <formula>0.81</formula>
      <formula>0.89</formula>
    </cfRule>
    <cfRule type="cellIs" dxfId="585" priority="15" operator="lessThan">
      <formula>0.8</formula>
    </cfRule>
  </conditionalFormatting>
  <conditionalFormatting sqref="H67:H68">
    <cfRule type="cellIs" dxfId="584" priority="16" operator="greaterThan">
      <formula>0.9</formula>
    </cfRule>
    <cfRule type="cellIs" dxfId="583" priority="17" operator="between">
      <formula>0.81</formula>
      <formula>0.89</formula>
    </cfRule>
    <cfRule type="cellIs" dxfId="582" priority="18" operator="lessThan">
      <formula>0.8</formula>
    </cfRule>
  </conditionalFormatting>
  <conditionalFormatting sqref="H70:H76">
    <cfRule type="cellIs" dxfId="581" priority="19" operator="greaterThan">
      <formula>0.9</formula>
    </cfRule>
    <cfRule type="cellIs" dxfId="580" priority="20" operator="between">
      <formula>0.81</formula>
      <formula>0.89</formula>
    </cfRule>
    <cfRule type="cellIs" dxfId="579" priority="21" operator="lessThan">
      <formula>0.8</formula>
    </cfRule>
  </conditionalFormatting>
  <conditionalFormatting sqref="H81:H82">
    <cfRule type="cellIs" dxfId="578" priority="7" operator="greaterThan">
      <formula>0.9</formula>
    </cfRule>
    <cfRule type="cellIs" dxfId="577" priority="8" operator="between">
      <formula>0.81</formula>
      <formula>0.89</formula>
    </cfRule>
    <cfRule type="cellIs" dxfId="576" priority="9" operator="lessThan">
      <formula>0.8</formula>
    </cfRule>
  </conditionalFormatting>
  <conditionalFormatting sqref="H84:H90">
    <cfRule type="cellIs" dxfId="575" priority="10" operator="greaterThan">
      <formula>0.9</formula>
    </cfRule>
    <cfRule type="cellIs" dxfId="574" priority="11" operator="between">
      <formula>0.81</formula>
      <formula>0.89</formula>
    </cfRule>
    <cfRule type="cellIs" dxfId="573" priority="12" operator="lessThan">
      <formula>0.8</formula>
    </cfRule>
  </conditionalFormatting>
  <conditionalFormatting sqref="H97:H100">
    <cfRule type="cellIs" dxfId="572" priority="4" operator="greaterThan">
      <formula>0.9</formula>
    </cfRule>
    <cfRule type="cellIs" dxfId="571" priority="5" operator="between">
      <formula>0.81</formula>
      <formula>0.89</formula>
    </cfRule>
    <cfRule type="cellIs" dxfId="570" priority="6" operator="lessThan">
      <formula>0.8</formula>
    </cfRule>
  </conditionalFormatting>
  <conditionalFormatting sqref="L45:L46">
    <cfRule type="cellIs" dxfId="569" priority="1" operator="greaterThan">
      <formula>0.9</formula>
    </cfRule>
    <cfRule type="cellIs" dxfId="568" priority="2" operator="between">
      <formula>0.81</formula>
      <formula>0.89</formula>
    </cfRule>
    <cfRule type="cellIs" dxfId="567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9E14140-B580-438D-B8D8-15D8646C3D2F}">
          <x14:formula1>
            <xm:f>Datos!$B$3:$B$8</xm:f>
          </x14:formula1>
          <xm:sqref>E33:E41 E21:E30</xm:sqref>
        </x14:dataValidation>
        <x14:dataValidation type="list" allowBlank="1" showInputMessage="1" showErrorMessage="1" xr:uid="{91F18FEB-83D9-4D47-A651-C49D04FD0CBA}">
          <x14:formula1>
            <xm:f>Datos!$D$3:$D$27</xm:f>
          </x14:formula1>
          <xm:sqref>F33:F41 F21:F30</xm:sqref>
        </x14:dataValidation>
        <x14:dataValidation type="list" allowBlank="1" showInputMessage="1" showErrorMessage="1" xr:uid="{65427744-3070-4F0A-A401-945BE9258392}">
          <x14:formula1>
            <xm:f>Datos!$W$3:$W$12</xm:f>
          </x14:formula1>
          <xm:sqref>L33:L41 L21:L30</xm:sqref>
        </x14:dataValidation>
        <x14:dataValidation type="list" allowBlank="1" showInputMessage="1" showErrorMessage="1" xr:uid="{91CC6FE0-5C9F-4331-9288-905466512637}">
          <x14:formula1>
            <xm:f>Datos!$F$3:$F$41</xm:f>
          </x14:formula1>
          <xm:sqref>G33:G41 G21:G30</xm:sqref>
        </x14:dataValidation>
        <x14:dataValidation type="list" allowBlank="1" showInputMessage="1" showErrorMessage="1" xr:uid="{5B69DAE4-13D5-4111-A88B-1DC86F9BAC5A}">
          <x14:formula1>
            <xm:f>Datos!$H$3:$H$26</xm:f>
          </x14:formula1>
          <xm:sqref>D30 D41</xm:sqref>
        </x14:dataValidation>
        <x14:dataValidation type="list" allowBlank="1" showInputMessage="1" showErrorMessage="1" xr:uid="{30D97B7F-7321-46F6-AA3B-898C9BAB4DAC}">
          <x14:formula1>
            <xm:f>Datos!$H$3:$H$34</xm:f>
          </x14:formula1>
          <xm:sqref>D33:D40 D21:D29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B5674-B73F-403D-94D0-062B3E991AA1}">
  <sheetPr>
    <pageSetUpPr fitToPage="1"/>
  </sheetPr>
  <dimension ref="B1:X99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J30" sqref="J30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+G45</f>
        <v>0.91388888888888886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+H46</f>
        <v>0.91666666666666663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+G75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+G89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+G99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53</v>
      </c>
      <c r="E21" s="172"/>
      <c r="F21" s="172"/>
      <c r="G21" s="172"/>
      <c r="H21" s="174">
        <v>0.88888888888888884</v>
      </c>
      <c r="I21" s="174">
        <v>0.90277777777777779</v>
      </c>
      <c r="J21" s="175">
        <f t="shared" ref="J21:J26" si="0">I21-H21</f>
        <v>1.3888888888888951E-2</v>
      </c>
      <c r="K21" s="178"/>
      <c r="L21" s="177"/>
      <c r="M21" s="178"/>
      <c r="N21" s="179">
        <v>1</v>
      </c>
      <c r="O21" s="186" t="s">
        <v>437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4.905875641756987E-2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56</v>
      </c>
      <c r="E22" s="172"/>
      <c r="F22" s="172"/>
      <c r="G22" s="172"/>
      <c r="H22" s="174">
        <v>0.90277777777777779</v>
      </c>
      <c r="I22" s="174">
        <v>0.92152777777777772</v>
      </c>
      <c r="J22" s="175">
        <f t="shared" si="0"/>
        <v>1.8749999999999933E-2</v>
      </c>
      <c r="K22" s="178"/>
      <c r="L22" s="177"/>
      <c r="M22" s="178"/>
      <c r="N22" s="179">
        <v>1</v>
      </c>
      <c r="O22" s="225"/>
      <c r="P22" s="181"/>
      <c r="Q22" s="174"/>
      <c r="R22" s="172"/>
      <c r="S22" s="175">
        <f t="shared" ref="S22:S30" si="1">+MOD(R22-Q22,1)</f>
        <v>0</v>
      </c>
      <c r="U22" s="182">
        <f>+IFERROR(VLOOKUP(D22,Datos!$R$3:$T$19,3,FALSE), "0")*N22</f>
        <v>4.2783799201369072E-2</v>
      </c>
      <c r="V22" s="183" t="str">
        <f t="shared" ref="V22:V30" si="2">IF(OR(D22="Perforación de Fortificación", D22="Perforación de Avance", D22="Perforación Desquinche"), K22*M22, "")</f>
        <v/>
      </c>
      <c r="W22" s="183" t="str">
        <f t="shared" ref="W22:W30" si="3">IF(D22="Extracción de Marina Disparo",K22,"")</f>
        <v/>
      </c>
      <c r="X22" s="183" t="str">
        <f t="shared" ref="X22:X30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59</v>
      </c>
      <c r="E23" s="172"/>
      <c r="F23" s="172"/>
      <c r="G23" s="172"/>
      <c r="H23" s="174">
        <v>0.92291666666666672</v>
      </c>
      <c r="I23" s="174">
        <v>0.95138888888888884</v>
      </c>
      <c r="J23" s="175">
        <f t="shared" si="0"/>
        <v>2.8472222222222121E-2</v>
      </c>
      <c r="K23" s="178"/>
      <c r="L23" s="177"/>
      <c r="M23" s="178"/>
      <c r="N23" s="179">
        <v>1</v>
      </c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5.7045065601825425E-3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63</v>
      </c>
      <c r="E24" s="172"/>
      <c r="F24" s="172"/>
      <c r="G24" s="172"/>
      <c r="H24" s="174">
        <v>0.96388888888888891</v>
      </c>
      <c r="I24" s="174">
        <v>1.0243055555555556</v>
      </c>
      <c r="J24" s="175">
        <f t="shared" si="0"/>
        <v>6.0416666666666674E-2</v>
      </c>
      <c r="K24" s="178"/>
      <c r="L24" s="177"/>
      <c r="M24" s="178"/>
      <c r="N24" s="179">
        <v>1</v>
      </c>
      <c r="O24" s="186"/>
      <c r="P24" s="181"/>
      <c r="Q24" s="174"/>
      <c r="R24" s="174"/>
      <c r="S24" s="175"/>
      <c r="U24" s="182">
        <f>+IFERROR(VLOOKUP(D24,Datos!$R$3:$T$19,3,FALSE), "0")*N24</f>
        <v>0.13519680547632629</v>
      </c>
      <c r="V24" s="183">
        <f t="shared" si="2"/>
        <v>0</v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347</v>
      </c>
      <c r="E25" s="172"/>
      <c r="F25" s="172"/>
      <c r="G25" s="172"/>
      <c r="H25" s="174">
        <v>1.0305555555555554</v>
      </c>
      <c r="I25" s="174">
        <v>1.1041666666666667</v>
      </c>
      <c r="J25" s="175">
        <f t="shared" si="0"/>
        <v>7.3611111111111294E-2</v>
      </c>
      <c r="K25" s="178"/>
      <c r="L25" s="177"/>
      <c r="M25" s="178"/>
      <c r="N25" s="179">
        <v>1</v>
      </c>
      <c r="O25" s="225"/>
      <c r="P25" s="181" t="s">
        <v>438</v>
      </c>
      <c r="Q25" s="174">
        <v>3.0555555555555555E-2</v>
      </c>
      <c r="R25" s="174">
        <v>1.0625</v>
      </c>
      <c r="S25" s="175">
        <f>R25-Q25</f>
        <v>1.0319444444444446</v>
      </c>
      <c r="U25" s="182">
        <f>+IFERROR(VLOOKUP(D25,Datos!$R$3:$T$19,3,FALSE), "0")*N25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>
        <v>3500</v>
      </c>
      <c r="C26" s="173" t="str">
        <f>+Datos!$R$2</f>
        <v>Ciclo Minero 10,0 x 7,2 m
Galería Inyección Principal</v>
      </c>
      <c r="D26" s="173" t="s">
        <v>227</v>
      </c>
      <c r="E26" s="172"/>
      <c r="F26" s="172"/>
      <c r="G26" s="172"/>
      <c r="H26" s="174">
        <v>1.1145833333333333</v>
      </c>
      <c r="I26" s="174">
        <v>1.3333333333333333</v>
      </c>
      <c r="J26" s="175">
        <f t="shared" si="0"/>
        <v>0.21875</v>
      </c>
      <c r="K26" s="178"/>
      <c r="L26" s="177"/>
      <c r="M26" s="178"/>
      <c r="N26" s="179">
        <v>0.5</v>
      </c>
      <c r="O26" s="186"/>
      <c r="P26" s="181" t="s">
        <v>439</v>
      </c>
      <c r="Q26" s="174">
        <v>0.1388888888888889</v>
      </c>
      <c r="R26" s="174">
        <v>0.33333333333333331</v>
      </c>
      <c r="S26" s="175">
        <f>R26-Q26</f>
        <v>0.19444444444444442</v>
      </c>
      <c r="U26" s="182">
        <f>+IFERROR(VLOOKUP(D26,Datos!$R$3:$T$19,3,FALSE), "0")*N26</f>
        <v>4.1642897889332571E-2</v>
      </c>
      <c r="V26" s="183"/>
      <c r="W26" s="183"/>
      <c r="X26" s="183"/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/>
      <c r="J27" s="175"/>
      <c r="K27" s="178"/>
      <c r="L27" s="177"/>
      <c r="M27" s="178"/>
      <c r="N27" s="179"/>
      <c r="O27" s="186"/>
      <c r="P27" s="181"/>
      <c r="Q27" s="174"/>
      <c r="R27" s="174"/>
      <c r="S27" s="175"/>
      <c r="U27" s="182">
        <f>+IFERROR(VLOOKUP(D27,Datos!$R$3:$T$19,3,FALSE), "0")*N27</f>
        <v>0</v>
      </c>
      <c r="V27" s="183"/>
      <c r="W27" s="183"/>
      <c r="X27" s="183"/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/>
      <c r="J28" s="175"/>
      <c r="K28" s="178"/>
      <c r="L28" s="177"/>
      <c r="M28" s="178"/>
      <c r="N28" s="179"/>
      <c r="O28" s="186"/>
      <c r="P28" s="181"/>
      <c r="Q28" s="174"/>
      <c r="R28" s="174"/>
      <c r="S28" s="175"/>
      <c r="U28" s="182">
        <f>+IFERROR(VLOOKUP(D28,Datos!$R$3:$T$19,3,FALSE), "0")*N28</f>
        <v>0</v>
      </c>
      <c r="V28" s="183"/>
      <c r="W28" s="183"/>
      <c r="X28" s="183"/>
    </row>
    <row r="29" spans="2:24" ht="37.75" customHeight="1" x14ac:dyDescent="0.3">
      <c r="B29" s="172"/>
      <c r="C29" s="173"/>
      <c r="D29" s="173" t="s">
        <v>110</v>
      </c>
      <c r="E29" s="172"/>
      <c r="F29" s="172"/>
      <c r="G29" s="172"/>
      <c r="H29" s="174">
        <v>0.83333333333333337</v>
      </c>
      <c r="I29" s="174">
        <v>1.3333333333333333</v>
      </c>
      <c r="J29" s="175">
        <f>I29-H29</f>
        <v>0.49999999999999989</v>
      </c>
      <c r="K29" s="178"/>
      <c r="L29" s="177"/>
      <c r="M29" s="178"/>
      <c r="N29" s="179"/>
      <c r="O29" s="186" t="s">
        <v>436</v>
      </c>
      <c r="P29" s="181"/>
      <c r="Q29" s="174"/>
      <c r="R29" s="174"/>
      <c r="S29" s="175"/>
      <c r="U29" s="182">
        <f>+IFERROR(VLOOKUP(D29,Datos!$R$3:$T$19,3,FALSE), "0")*N29</f>
        <v>0</v>
      </c>
      <c r="V29" s="183" t="str">
        <f t="shared" si="2"/>
        <v/>
      </c>
      <c r="W29" s="183" t="str">
        <f t="shared" si="3"/>
        <v/>
      </c>
      <c r="X29" s="183" t="str">
        <f t="shared" si="4"/>
        <v/>
      </c>
    </row>
    <row r="30" spans="2:24" ht="38" customHeight="1" x14ac:dyDescent="0.3">
      <c r="B30" s="172"/>
      <c r="C30" s="173"/>
      <c r="D30" s="173"/>
      <c r="E30" s="172"/>
      <c r="F30" s="172"/>
      <c r="G30" s="172"/>
      <c r="H30" s="174"/>
      <c r="I30" s="174" t="s">
        <v>329</v>
      </c>
      <c r="J30" s="175">
        <f>MOD(Q26-H21, 1)</f>
        <v>0.25</v>
      </c>
      <c r="K30" s="178"/>
      <c r="L30" s="177"/>
      <c r="M30" s="178"/>
      <c r="N30" s="179"/>
      <c r="O30" s="186"/>
      <c r="P30" s="172"/>
      <c r="Q30" s="172"/>
      <c r="R30" s="172"/>
      <c r="S30" s="175">
        <f t="shared" si="1"/>
        <v>0</v>
      </c>
      <c r="U30" s="182">
        <f>SUM(U21:U29)</f>
        <v>0.27438676554478036</v>
      </c>
      <c r="V30" s="183" t="str">
        <f t="shared" si="2"/>
        <v/>
      </c>
      <c r="W30" s="183" t="str">
        <f t="shared" si="3"/>
        <v/>
      </c>
      <c r="X30" s="183" t="str">
        <f t="shared" si="4"/>
        <v/>
      </c>
    </row>
    <row r="31" spans="2:24" x14ac:dyDescent="0.3">
      <c r="B31" s="185" t="s">
        <v>158</v>
      </c>
      <c r="C31" s="63" t="s">
        <v>194</v>
      </c>
      <c r="D31" s="63"/>
      <c r="E31" s="63"/>
      <c r="F31" s="63"/>
      <c r="G31" s="63"/>
      <c r="H31" s="63"/>
      <c r="I31" s="63"/>
      <c r="J31" s="64"/>
      <c r="K31" s="64"/>
      <c r="L31" s="171"/>
      <c r="M31" s="63"/>
      <c r="N31" s="64"/>
      <c r="O31" s="64"/>
      <c r="P31" s="63"/>
      <c r="Q31" s="63"/>
      <c r="R31" s="63"/>
      <c r="S31" s="64"/>
      <c r="U31" s="63"/>
      <c r="V31" s="64"/>
      <c r="W31" s="64"/>
      <c r="X31" s="64"/>
    </row>
    <row r="32" spans="2:24" ht="52" x14ac:dyDescent="0.3">
      <c r="B32" s="63" t="s">
        <v>3</v>
      </c>
      <c r="C32" s="63" t="s">
        <v>2</v>
      </c>
      <c r="D32" s="63" t="s">
        <v>5</v>
      </c>
      <c r="E32" s="63" t="s">
        <v>22</v>
      </c>
      <c r="F32" s="63" t="s">
        <v>139</v>
      </c>
      <c r="G32" s="63" t="s">
        <v>29</v>
      </c>
      <c r="H32" s="63" t="s">
        <v>121</v>
      </c>
      <c r="I32" s="63" t="s">
        <v>4</v>
      </c>
      <c r="J32" s="64" t="s">
        <v>122</v>
      </c>
      <c r="K32" s="64" t="s">
        <v>131</v>
      </c>
      <c r="L32" s="171" t="s">
        <v>123</v>
      </c>
      <c r="M32" s="63" t="s">
        <v>134</v>
      </c>
      <c r="N32" s="64" t="s">
        <v>24</v>
      </c>
      <c r="O32" s="64" t="s">
        <v>130</v>
      </c>
      <c r="P32" s="63" t="s">
        <v>132</v>
      </c>
      <c r="Q32" s="63" t="s">
        <v>121</v>
      </c>
      <c r="R32" s="63" t="s">
        <v>4</v>
      </c>
      <c r="S32" s="64" t="s">
        <v>137</v>
      </c>
      <c r="U32" s="63" t="s">
        <v>109</v>
      </c>
      <c r="V32" s="64" t="s">
        <v>87</v>
      </c>
      <c r="W32" s="64" t="s">
        <v>128</v>
      </c>
      <c r="X32" s="64" t="s">
        <v>128</v>
      </c>
    </row>
    <row r="33" spans="2:24" ht="38" customHeight="1" x14ac:dyDescent="0.3">
      <c r="B33" s="172">
        <v>3700</v>
      </c>
      <c r="C33" s="173" t="str">
        <f>+Datos!$R$23</f>
        <v>Ciclo Minero 5,2 x 5,6 m
Galería Acceso Portal de Servicio</v>
      </c>
      <c r="D33" s="173" t="s">
        <v>110</v>
      </c>
      <c r="E33" s="172"/>
      <c r="F33" s="172"/>
      <c r="G33" s="172"/>
      <c r="H33" s="174">
        <v>0.83333333333333337</v>
      </c>
      <c r="I33" s="174">
        <v>1.3333333333333333</v>
      </c>
      <c r="J33" s="175">
        <f>I33-H33</f>
        <v>0.49999999999999989</v>
      </c>
      <c r="K33" s="178"/>
      <c r="L33" s="177"/>
      <c r="M33" s="178"/>
      <c r="N33" s="179">
        <v>1</v>
      </c>
      <c r="O33" s="186" t="s">
        <v>428</v>
      </c>
      <c r="P33" s="225"/>
      <c r="Q33" s="174"/>
      <c r="R33" s="174"/>
      <c r="S33" s="175"/>
      <c r="U33" s="187">
        <f>+IFERROR(VLOOKUP(D33,Datos!$R$24:$T$40,3,FALSE), "0")*N33</f>
        <v>0</v>
      </c>
      <c r="V33" s="183" t="str">
        <f t="shared" ref="V33:V41" si="5">IF(OR(D33="Perforación de Fortificación", D33="Perforación de Avance", D33="Perforación Desquinche"), K33*M33, "")</f>
        <v/>
      </c>
      <c r="W33" s="183" t="str">
        <f>IF(D33="Extracción de Marina Disparo",K33,"")</f>
        <v/>
      </c>
      <c r="X33" s="183" t="str">
        <f t="shared" ref="X33:X41" si="6">IF(OR(D33="Shotcrete", D33="Pre Shotcrete"), K33, "")</f>
        <v/>
      </c>
    </row>
    <row r="34" spans="2:24" ht="38" customHeight="1" x14ac:dyDescent="0.3">
      <c r="B34" s="172">
        <v>3700</v>
      </c>
      <c r="C34" s="173" t="str">
        <f>+Datos!$R$23</f>
        <v>Ciclo Minero 5,2 x 5,6 m
Galería Acceso Portal de Servicio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225"/>
      <c r="P34" s="173"/>
      <c r="Q34" s="174"/>
      <c r="R34" s="174"/>
      <c r="S34" s="175"/>
      <c r="U34" s="187">
        <f>+IFERROR(VLOOKUP(D34,Datos!$R$24:$T$40,3,FALSE), "0")*N34</f>
        <v>0</v>
      </c>
      <c r="V34" s="183" t="str">
        <f t="shared" si="5"/>
        <v/>
      </c>
      <c r="W34" s="183" t="str">
        <f>IF(D34="Extracción de Marina Disparo",K34,"")</f>
        <v/>
      </c>
      <c r="X34" s="183" t="str">
        <f t="shared" si="6"/>
        <v/>
      </c>
    </row>
    <row r="35" spans="2:24" ht="53.4" customHeight="1" x14ac:dyDescent="0.3">
      <c r="B35" s="172">
        <v>3700</v>
      </c>
      <c r="C35" s="173" t="str">
        <f>+C33</f>
        <v>Ciclo Minero 5,2 x 5,6 m
Galería Acceso Portal de Servicio</v>
      </c>
      <c r="D35" s="173"/>
      <c r="E35" s="172"/>
      <c r="F35" s="172"/>
      <c r="G35" s="172"/>
      <c r="H35" s="174"/>
      <c r="I35" s="174"/>
      <c r="J35" s="175"/>
      <c r="K35" s="178"/>
      <c r="L35" s="177"/>
      <c r="M35" s="178"/>
      <c r="N35" s="179"/>
      <c r="O35" s="225"/>
      <c r="P35" s="181"/>
      <c r="Q35" s="174"/>
      <c r="R35" s="174"/>
      <c r="S35" s="175"/>
      <c r="U35" s="187">
        <f>+IFERROR(VLOOKUP(D35,Datos!$R$24:$T$40,3,FALSE), "0")*N35</f>
        <v>0</v>
      </c>
      <c r="V35" s="183" t="str">
        <f t="shared" si="5"/>
        <v/>
      </c>
      <c r="W35" s="183" t="str">
        <f t="shared" ref="W35:W41" si="7">IF(D35="Extracción de Marina Disparo",K35,"")</f>
        <v/>
      </c>
      <c r="X35" s="183" t="str">
        <f t="shared" si="6"/>
        <v/>
      </c>
    </row>
    <row r="36" spans="2:24" ht="38" customHeight="1" x14ac:dyDescent="0.3">
      <c r="B36" s="172">
        <v>3700</v>
      </c>
      <c r="C36" s="173" t="s">
        <v>397</v>
      </c>
      <c r="D36" s="173"/>
      <c r="E36" s="172"/>
      <c r="F36" s="172"/>
      <c r="G36" s="172"/>
      <c r="H36" s="174"/>
      <c r="I36" s="174"/>
      <c r="J36" s="175"/>
      <c r="K36" s="178"/>
      <c r="L36" s="177"/>
      <c r="M36" s="178"/>
      <c r="N36" s="179"/>
      <c r="O36" s="186"/>
      <c r="P36" s="172"/>
      <c r="Q36" s="172"/>
      <c r="R36" s="172"/>
      <c r="S36" s="175"/>
      <c r="U36" s="187">
        <f>+IFERROR(VLOOKUP(D36,Datos!$R$24:$T$40,3,FALSE), "0")*N36</f>
        <v>0</v>
      </c>
      <c r="V36" s="183" t="str">
        <f t="shared" si="5"/>
        <v/>
      </c>
      <c r="W36" s="183" t="str">
        <f t="shared" si="7"/>
        <v/>
      </c>
      <c r="X36" s="183"/>
    </row>
    <row r="37" spans="2:24" ht="38" customHeight="1" x14ac:dyDescent="0.3">
      <c r="B37" s="172">
        <v>3700</v>
      </c>
      <c r="C37" s="173" t="str">
        <f>+C36</f>
        <v>Fróntón Bodega</v>
      </c>
      <c r="D37" s="173"/>
      <c r="E37" s="172"/>
      <c r="F37" s="172"/>
      <c r="G37" s="172"/>
      <c r="H37" s="174"/>
      <c r="I37" s="174"/>
      <c r="J37" s="175"/>
      <c r="K37" s="178"/>
      <c r="L37" s="177"/>
      <c r="M37" s="178"/>
      <c r="N37" s="179"/>
      <c r="O37" s="186"/>
      <c r="P37" s="181"/>
      <c r="Q37" s="174"/>
      <c r="R37" s="174"/>
      <c r="S37" s="175"/>
      <c r="U37" s="187">
        <f>+IFERROR(VLOOKUP(D37,Datos!$R$24:$T$40,3,FALSE), "0")*N37</f>
        <v>0</v>
      </c>
      <c r="V37" s="183" t="str">
        <f t="shared" si="5"/>
        <v/>
      </c>
      <c r="W37" s="183" t="str">
        <f t="shared" si="7"/>
        <v/>
      </c>
      <c r="X37" s="183" t="str">
        <f t="shared" si="6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/>
      <c r="J38" s="175">
        <f>MOD(I38-H38, 1)</f>
        <v>0</v>
      </c>
      <c r="K38" s="178"/>
      <c r="L38" s="177"/>
      <c r="M38" s="178"/>
      <c r="N38" s="179"/>
      <c r="O38" s="225"/>
      <c r="P38" s="172"/>
      <c r="Q38" s="172"/>
      <c r="R38" s="172"/>
      <c r="S38" s="175">
        <f t="shared" ref="S38:S41" si="8">+MOD(R38-Q38,1)</f>
        <v>0</v>
      </c>
      <c r="U38" s="187">
        <f>+IFERROR(VLOOKUP(D38,Datos!$R$24:$T$40,3,FALSE), "0")*N38</f>
        <v>0</v>
      </c>
      <c r="V38" s="183" t="str">
        <f t="shared" si="5"/>
        <v/>
      </c>
      <c r="W38" s="183" t="str">
        <f t="shared" si="7"/>
        <v/>
      </c>
      <c r="X38" s="183" t="str">
        <f t="shared" si="6"/>
        <v/>
      </c>
    </row>
    <row r="39" spans="2:24" ht="38" customHeight="1" x14ac:dyDescent="0.3">
      <c r="B39" s="172"/>
      <c r="C39" s="173"/>
      <c r="D39" s="173"/>
      <c r="E39" s="172"/>
      <c r="F39" s="172"/>
      <c r="G39" s="172"/>
      <c r="H39" s="174"/>
      <c r="I39" s="174"/>
      <c r="J39" s="175">
        <f>MOD(I39-H39, 1)</f>
        <v>0</v>
      </c>
      <c r="K39" s="178"/>
      <c r="L39" s="177"/>
      <c r="M39" s="178"/>
      <c r="N39" s="179"/>
      <c r="O39" s="186"/>
      <c r="P39" s="172"/>
      <c r="Q39" s="172"/>
      <c r="R39" s="172"/>
      <c r="S39" s="175">
        <f t="shared" si="8"/>
        <v>0</v>
      </c>
      <c r="U39" s="187"/>
      <c r="V39" s="183" t="str">
        <f t="shared" si="5"/>
        <v/>
      </c>
      <c r="W39" s="183" t="str">
        <f t="shared" si="7"/>
        <v/>
      </c>
      <c r="X39" s="183" t="str">
        <f t="shared" si="6"/>
        <v/>
      </c>
    </row>
    <row r="40" spans="2:24" ht="38" customHeight="1" x14ac:dyDescent="0.3">
      <c r="B40" s="172"/>
      <c r="C40" s="173"/>
      <c r="D40" s="173"/>
      <c r="E40" s="172"/>
      <c r="F40" s="172"/>
      <c r="G40" s="172"/>
      <c r="H40" s="174"/>
      <c r="I40" s="174"/>
      <c r="J40" s="175">
        <f>MOD(I40-H40, 1)</f>
        <v>0</v>
      </c>
      <c r="K40" s="178"/>
      <c r="L40" s="177"/>
      <c r="M40" s="178"/>
      <c r="N40" s="179"/>
      <c r="O40" s="186"/>
      <c r="P40" s="172"/>
      <c r="Q40" s="172"/>
      <c r="R40" s="172"/>
      <c r="S40" s="175">
        <f t="shared" si="8"/>
        <v>0</v>
      </c>
      <c r="U40" s="187"/>
      <c r="V40" s="183" t="str">
        <f t="shared" si="5"/>
        <v/>
      </c>
      <c r="W40" s="183" t="str">
        <f t="shared" si="7"/>
        <v/>
      </c>
      <c r="X40" s="183" t="str">
        <f t="shared" si="6"/>
        <v/>
      </c>
    </row>
    <row r="41" spans="2:24" ht="38" customHeight="1" x14ac:dyDescent="0.3">
      <c r="B41" s="172"/>
      <c r="C41" s="173"/>
      <c r="D41" s="173"/>
      <c r="E41" s="172"/>
      <c r="F41" s="172"/>
      <c r="G41" s="172"/>
      <c r="H41" s="174"/>
      <c r="I41" s="174" t="s">
        <v>329</v>
      </c>
      <c r="J41" s="175">
        <v>0</v>
      </c>
      <c r="K41" s="178"/>
      <c r="L41" s="177"/>
      <c r="M41" s="178"/>
      <c r="N41" s="179"/>
      <c r="O41" s="186"/>
      <c r="P41" s="172"/>
      <c r="Q41" s="172"/>
      <c r="R41" s="172"/>
      <c r="S41" s="175">
        <f t="shared" si="8"/>
        <v>0</v>
      </c>
      <c r="U41" s="182">
        <f>SUM(U33:U40)</f>
        <v>0</v>
      </c>
      <c r="V41" s="183" t="str">
        <f t="shared" si="5"/>
        <v/>
      </c>
      <c r="W41" s="183" t="str">
        <f t="shared" si="7"/>
        <v/>
      </c>
      <c r="X41" s="183" t="str">
        <f t="shared" si="6"/>
        <v/>
      </c>
    </row>
    <row r="42" spans="2:24" ht="15.65" customHeight="1" thickBot="1" x14ac:dyDescent="0.35">
      <c r="B42" s="190"/>
      <c r="C42" s="190"/>
      <c r="D42" s="190"/>
      <c r="E42" s="190"/>
      <c r="F42" s="190"/>
      <c r="G42" s="190"/>
      <c r="H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</row>
    <row r="43" spans="2:24" ht="30" customHeight="1" thickBot="1" x14ac:dyDescent="0.35">
      <c r="B43" s="191"/>
      <c r="C43" s="446" t="s">
        <v>64</v>
      </c>
      <c r="D43" s="446"/>
      <c r="E43" s="192"/>
      <c r="F43" s="192"/>
      <c r="G43" s="431">
        <v>3500</v>
      </c>
      <c r="H43" s="432"/>
      <c r="I43" s="431">
        <v>3700</v>
      </c>
      <c r="J43" s="432"/>
      <c r="K43" s="433" t="s">
        <v>146</v>
      </c>
      <c r="L43" s="434"/>
      <c r="M43" s="190"/>
      <c r="N43" s="190"/>
      <c r="O43" s="190"/>
      <c r="P43" s="190"/>
      <c r="Q43" s="190"/>
      <c r="R43" s="190"/>
      <c r="S43" s="190"/>
    </row>
    <row r="44" spans="2:24" ht="30" customHeight="1" x14ac:dyDescent="0.3">
      <c r="C44" s="194" t="s">
        <v>48</v>
      </c>
      <c r="D44" s="195">
        <f>SUMPRODUCT((LEFT(F21:F38, 1)="C") / (COUNTIF(F21:F38, F21:F38 &amp; "") + (F21:F38="")))</f>
        <v>0</v>
      </c>
      <c r="E44" s="447" t="s">
        <v>90</v>
      </c>
      <c r="F44" s="447"/>
      <c r="G44" s="196">
        <v>0.26041666666666669</v>
      </c>
      <c r="H44" s="197" t="s">
        <v>23</v>
      </c>
      <c r="I44" s="196">
        <v>0.26041666666666669</v>
      </c>
      <c r="J44" s="197" t="s">
        <v>23</v>
      </c>
      <c r="K44" s="198">
        <f>+G44</f>
        <v>0.26041666666666669</v>
      </c>
      <c r="L44" s="197" t="s">
        <v>23</v>
      </c>
      <c r="M44" s="190"/>
      <c r="N44" s="190"/>
      <c r="O44" s="190"/>
      <c r="P44" s="190"/>
      <c r="Q44" s="190"/>
      <c r="R44" s="190"/>
      <c r="S44" s="190"/>
    </row>
    <row r="45" spans="2:24" x14ac:dyDescent="0.3">
      <c r="C45" s="194" t="s">
        <v>49</v>
      </c>
      <c r="D45" s="195">
        <f>SUMPRODUCT((LEFT(F21:F38, 1)="O") / (COUNTIF(F21:F38, F21:F38 &amp; "") + (F21:F38="")))</f>
        <v>0</v>
      </c>
      <c r="E45" s="448" t="s">
        <v>198</v>
      </c>
      <c r="F45" s="448"/>
      <c r="G45" s="199">
        <f>SUM(J21:J29)</f>
        <v>0.91388888888888886</v>
      </c>
      <c r="H45" s="200">
        <f>+G45*24/($G$44*24)</f>
        <v>3.5093333333333332</v>
      </c>
      <c r="I45" s="199">
        <f>SUM(J33:J38)</f>
        <v>0.49999999999999989</v>
      </c>
      <c r="J45" s="200">
        <f>+I45*24/($I$44*24)</f>
        <v>1.9199999999999995</v>
      </c>
      <c r="K45" s="201">
        <f>AVERAGE(G45+I45)/2</f>
        <v>0.70694444444444438</v>
      </c>
      <c r="L45" s="200">
        <f>+K45*24/($K$44*24)</f>
        <v>2.7146666666666666</v>
      </c>
      <c r="M45" s="190"/>
      <c r="N45" s="190"/>
      <c r="O45" s="190"/>
      <c r="P45" s="190"/>
      <c r="Q45" s="190"/>
      <c r="R45" s="190"/>
      <c r="S45" s="190"/>
    </row>
    <row r="46" spans="2:24" ht="43.25" customHeight="1" thickBot="1" x14ac:dyDescent="0.35">
      <c r="E46" s="448" t="s">
        <v>94</v>
      </c>
      <c r="F46" s="448"/>
      <c r="G46" s="202"/>
      <c r="H46" s="203">
        <f>+AVERAGE(N21:N30)</f>
        <v>0.91666666666666663</v>
      </c>
      <c r="I46" s="202"/>
      <c r="J46" s="203">
        <f>+AVERAGE(N33:N38)</f>
        <v>1</v>
      </c>
      <c r="K46" s="204"/>
      <c r="L46" s="203">
        <f>+AVERAGE(N21:N38)</f>
        <v>0.9285714285714286</v>
      </c>
    </row>
    <row r="47" spans="2:24" ht="43.25" customHeight="1" x14ac:dyDescent="0.3">
      <c r="E47" s="205"/>
      <c r="F47" s="205"/>
      <c r="G47" s="206"/>
      <c r="H47" s="206"/>
      <c r="I47" s="137"/>
      <c r="J47" s="137"/>
      <c r="K47" s="137"/>
      <c r="L47" s="137"/>
    </row>
    <row r="48" spans="2:24" ht="43.25" customHeight="1" x14ac:dyDescent="0.3">
      <c r="E48" s="194"/>
      <c r="F48" s="194"/>
      <c r="G48" s="207"/>
      <c r="H48" s="208" t="s">
        <v>24</v>
      </c>
      <c r="I48" s="208" t="s">
        <v>199</v>
      </c>
      <c r="J48" s="208" t="s">
        <v>201</v>
      </c>
      <c r="K48" s="208" t="s">
        <v>404</v>
      </c>
      <c r="L48" s="345" t="s">
        <v>484</v>
      </c>
      <c r="M48" s="345" t="s">
        <v>485</v>
      </c>
      <c r="N48" s="208"/>
    </row>
    <row r="49" spans="2:13" ht="14.5" x14ac:dyDescent="0.35">
      <c r="E49" s="445" t="s">
        <v>174</v>
      </c>
      <c r="F49" s="445"/>
      <c r="G49" s="445"/>
      <c r="H49" s="209">
        <f>+U41</f>
        <v>0</v>
      </c>
      <c r="I49" s="298">
        <f>+H49*$J$49*$K$49</f>
        <v>0</v>
      </c>
      <c r="J49" s="298">
        <v>6.6</v>
      </c>
      <c r="K49" s="246">
        <v>3.42</v>
      </c>
      <c r="L49" s="344">
        <v>56.080975609756102</v>
      </c>
      <c r="M49" s="344">
        <f>+L49*K49*H49</f>
        <v>0</v>
      </c>
    </row>
    <row r="50" spans="2:13" ht="14.4" customHeight="1" x14ac:dyDescent="0.35">
      <c r="E50" s="445" t="s">
        <v>224</v>
      </c>
      <c r="F50" s="445"/>
      <c r="G50" s="445"/>
      <c r="H50" s="209"/>
      <c r="I50" s="298">
        <f>+J50*K50</f>
        <v>0</v>
      </c>
      <c r="J50" s="298">
        <f>1892/1000000</f>
        <v>1.892E-3</v>
      </c>
      <c r="K50" s="246">
        <f>+((15*4.4)*2.72)*0</f>
        <v>0</v>
      </c>
      <c r="L50" s="346">
        <v>1.6919982016368774E-2</v>
      </c>
      <c r="M50" s="344">
        <f>+L50*K50</f>
        <v>0</v>
      </c>
    </row>
    <row r="51" spans="2:13" ht="14.4" customHeight="1" x14ac:dyDescent="0.35">
      <c r="E51" s="445" t="s">
        <v>359</v>
      </c>
      <c r="F51" s="445"/>
      <c r="G51" s="445"/>
      <c r="H51" s="209"/>
      <c r="I51" s="298">
        <f>+J51*K51</f>
        <v>0</v>
      </c>
      <c r="J51" s="298">
        <v>0.340368</v>
      </c>
      <c r="K51" s="246">
        <v>0</v>
      </c>
      <c r="L51" s="346">
        <v>2.2358937544867188</v>
      </c>
      <c r="M51" s="344">
        <f>+L51*K51</f>
        <v>0</v>
      </c>
    </row>
    <row r="52" spans="2:13" ht="14.4" customHeight="1" x14ac:dyDescent="0.35">
      <c r="E52" s="445" t="s">
        <v>376</v>
      </c>
      <c r="F52" s="445"/>
      <c r="G52" s="445"/>
      <c r="H52" s="209">
        <v>0</v>
      </c>
      <c r="I52" s="298">
        <f>+H52*$J$52*$K$52</f>
        <v>0</v>
      </c>
      <c r="J52" s="298">
        <f>23683234/1000000</f>
        <v>23.683233999999999</v>
      </c>
      <c r="K52" s="226">
        <v>0</v>
      </c>
      <c r="L52" s="346">
        <v>254.98967741935485</v>
      </c>
      <c r="M52" s="344">
        <f>+L52*K52*H52</f>
        <v>0</v>
      </c>
    </row>
    <row r="53" spans="2:13" ht="14.4" customHeight="1" x14ac:dyDescent="0.35">
      <c r="E53" s="445" t="s">
        <v>236</v>
      </c>
      <c r="F53" s="445"/>
      <c r="G53" s="445"/>
      <c r="H53" s="209"/>
      <c r="I53" s="298">
        <f>+J53*K53</f>
        <v>0</v>
      </c>
      <c r="J53" s="298">
        <f>25508/1000000</f>
        <v>2.5507999999999999E-2</v>
      </c>
      <c r="K53" s="246">
        <f>7/(0.05)*0</f>
        <v>0</v>
      </c>
      <c r="L53" s="347" t="s">
        <v>486</v>
      </c>
      <c r="M53" s="349"/>
    </row>
    <row r="54" spans="2:13" ht="14.4" customHeight="1" x14ac:dyDescent="0.35">
      <c r="E54" s="445" t="s">
        <v>451</v>
      </c>
      <c r="F54" s="445"/>
      <c r="G54" s="445"/>
      <c r="H54" s="209">
        <v>1</v>
      </c>
      <c r="I54" s="298">
        <f>H54*J54</f>
        <v>7.9892054999999997</v>
      </c>
      <c r="J54" s="298">
        <f>15978411/2000000</f>
        <v>7.9892054999999997</v>
      </c>
      <c r="K54" s="246"/>
      <c r="L54" s="347" t="s">
        <v>486</v>
      </c>
      <c r="M54" s="344"/>
    </row>
    <row r="55" spans="2:13" ht="14.4" customHeight="1" x14ac:dyDescent="0.35">
      <c r="E55" s="445" t="s">
        <v>298</v>
      </c>
      <c r="F55" s="445"/>
      <c r="G55" s="445"/>
      <c r="H55" s="209"/>
      <c r="I55" s="210">
        <f>SUM(I49:I54)</f>
        <v>7.9892054999999997</v>
      </c>
      <c r="J55" s="214"/>
      <c r="K55" s="246"/>
      <c r="L55" s="344"/>
      <c r="M55" s="344"/>
    </row>
    <row r="56" spans="2:13" ht="14.4" customHeight="1" x14ac:dyDescent="0.35">
      <c r="E56" s="227"/>
      <c r="F56" s="227"/>
      <c r="G56" s="227"/>
      <c r="H56" s="209"/>
      <c r="I56" s="210"/>
      <c r="J56" s="214"/>
      <c r="K56" s="246"/>
      <c r="L56" s="344"/>
      <c r="M56" s="344"/>
    </row>
    <row r="57" spans="2:13" ht="14.4" customHeight="1" x14ac:dyDescent="0.35">
      <c r="E57" s="445" t="s">
        <v>175</v>
      </c>
      <c r="F57" s="445"/>
      <c r="G57" s="445"/>
      <c r="H57" s="209">
        <f>+U30</f>
        <v>0.27438676554478036</v>
      </c>
      <c r="I57" s="210">
        <f>+H57*$J$57*$K$57</f>
        <v>11.073152310325158</v>
      </c>
      <c r="J57" s="211">
        <v>11.8</v>
      </c>
      <c r="K57" s="246">
        <v>3.42</v>
      </c>
      <c r="L57" s="344">
        <v>118.52055555555555</v>
      </c>
      <c r="M57" s="344">
        <f>+L57*K57*H57</f>
        <v>111.22001386195092</v>
      </c>
    </row>
    <row r="58" spans="2:13" ht="14.4" customHeight="1" x14ac:dyDescent="0.35">
      <c r="E58" s="445" t="s">
        <v>225</v>
      </c>
      <c r="F58" s="445"/>
      <c r="G58" s="445"/>
      <c r="H58" s="209"/>
      <c r="I58" s="210">
        <f>+J58*K58</f>
        <v>0</v>
      </c>
      <c r="J58" s="296">
        <f>+J50*0</f>
        <v>0</v>
      </c>
      <c r="K58" s="215">
        <f>+((15*2.8)*2.72)*K29</f>
        <v>0</v>
      </c>
      <c r="L58" s="346">
        <v>1.6919982016368774E-2</v>
      </c>
      <c r="M58" s="344">
        <f>+L58*K58</f>
        <v>0</v>
      </c>
    </row>
    <row r="59" spans="2:13" ht="14.4" customHeight="1" x14ac:dyDescent="0.35">
      <c r="E59" s="445" t="s">
        <v>297</v>
      </c>
      <c r="F59" s="445"/>
      <c r="G59" s="445"/>
      <c r="H59" s="209"/>
      <c r="I59" s="210">
        <f>SUM(I57:I58)</f>
        <v>11.073152310325158</v>
      </c>
      <c r="J59" s="214"/>
      <c r="K59" s="246"/>
      <c r="L59" s="347" t="s">
        <v>486</v>
      </c>
      <c r="M59" s="349"/>
    </row>
    <row r="60" spans="2:13" ht="14.4" customHeight="1" x14ac:dyDescent="0.3">
      <c r="E60" s="227"/>
      <c r="F60" s="227"/>
      <c r="G60" s="227"/>
      <c r="H60" s="209"/>
      <c r="I60" s="210"/>
      <c r="J60" s="214"/>
      <c r="K60" s="246"/>
      <c r="L60" s="213"/>
      <c r="M60" s="352">
        <f>SUM(M49:M59)</f>
        <v>111.22001386195092</v>
      </c>
    </row>
    <row r="61" spans="2:13" ht="14.4" customHeight="1" x14ac:dyDescent="0.3">
      <c r="L61" s="213"/>
    </row>
    <row r="62" spans="2:13" ht="7.75" customHeight="1" thickBot="1" x14ac:dyDescent="0.35"/>
    <row r="63" spans="2:13" ht="30" customHeight="1" thickBot="1" x14ac:dyDescent="0.35">
      <c r="B63" s="191"/>
      <c r="C63" s="446" t="s">
        <v>88</v>
      </c>
      <c r="D63" s="446"/>
      <c r="E63" s="192"/>
      <c r="F63" s="192"/>
      <c r="G63" s="192"/>
      <c r="H63" s="192"/>
      <c r="I63" s="216"/>
      <c r="J63" s="193"/>
    </row>
    <row r="64" spans="2:13" ht="38" customHeight="1" x14ac:dyDescent="0.3">
      <c r="C64" s="217" t="s">
        <v>89</v>
      </c>
      <c r="D64" s="195">
        <f>SUMPRODUCT((LEFT(G21:G38, 5)="Jumbo") / (COUNTIF(G21:G38, G21:G38 &amp; "") + (G21:G38="")))</f>
        <v>0</v>
      </c>
      <c r="E64" s="447" t="s">
        <v>90</v>
      </c>
      <c r="F64" s="447"/>
      <c r="G64" s="218">
        <v>0.20833333333333334</v>
      </c>
      <c r="I64" s="139"/>
      <c r="J64" s="190"/>
    </row>
    <row r="65" spans="2:10" ht="38" customHeight="1" x14ac:dyDescent="0.3">
      <c r="E65" s="447" t="s">
        <v>93</v>
      </c>
      <c r="F65" s="447"/>
      <c r="G65" s="195">
        <f>15000/(60)</f>
        <v>250</v>
      </c>
      <c r="H65" s="219" t="s">
        <v>143</v>
      </c>
      <c r="I65" s="139"/>
      <c r="J65" s="190"/>
    </row>
    <row r="66" spans="2:10" ht="38" customHeight="1" x14ac:dyDescent="0.3">
      <c r="E66" s="448" t="s">
        <v>91</v>
      </c>
      <c r="F66" s="448"/>
      <c r="G66" s="207" t="e">
        <f>+SUM(SUMIF($G$21:$G$38, "Jumbo*", $J$21:$J$38))/SUMPRODUCT((LEFT(G21:G38, 5)="Jumbo") / (COUNTIF(G21:G38, G21:G38 &amp; "") + (G21:G38="")))</f>
        <v>#DIV/0!</v>
      </c>
      <c r="H66" s="220" t="e">
        <f>+G66*24/($G$64*24)</f>
        <v>#DIV/0!</v>
      </c>
      <c r="I66" s="190"/>
      <c r="J66" s="190"/>
    </row>
    <row r="67" spans="2:10" ht="38" customHeight="1" x14ac:dyDescent="0.3">
      <c r="E67" s="448" t="s">
        <v>92</v>
      </c>
      <c r="F67" s="448"/>
      <c r="G67" s="221" t="e">
        <f>+SUM(V21:V38)/D64</f>
        <v>#DIV/0!</v>
      </c>
      <c r="H67" s="220" t="e">
        <f>+G67/G65</f>
        <v>#DIV/0!</v>
      </c>
      <c r="I67" s="190"/>
      <c r="J67" s="190"/>
    </row>
    <row r="68" spans="2:10" ht="38" customHeight="1" x14ac:dyDescent="0.3">
      <c r="G68" s="222" t="s">
        <v>87</v>
      </c>
      <c r="H68" s="139" t="s">
        <v>23</v>
      </c>
    </row>
    <row r="69" spans="2:10" ht="20" customHeight="1" x14ac:dyDescent="0.3">
      <c r="F69" s="208" t="s">
        <v>65</v>
      </c>
      <c r="G69" s="221">
        <f t="shared" ref="G69:G74" si="9" xml:space="preserve"> SUMIF($G$21:$G$38, +F69,$V$21:$V$38)</f>
        <v>0</v>
      </c>
      <c r="H69" s="220">
        <f t="shared" ref="H69:H74" si="10">+G69/$G$65</f>
        <v>0</v>
      </c>
    </row>
    <row r="70" spans="2:10" ht="20" customHeight="1" x14ac:dyDescent="0.3">
      <c r="F70" s="208" t="s">
        <v>66</v>
      </c>
      <c r="G70" s="221">
        <f t="shared" si="9"/>
        <v>0</v>
      </c>
      <c r="H70" s="220">
        <f t="shared" si="10"/>
        <v>0</v>
      </c>
    </row>
    <row r="71" spans="2:10" ht="20" customHeight="1" x14ac:dyDescent="0.3">
      <c r="F71" s="208" t="s">
        <v>67</v>
      </c>
      <c r="G71" s="221">
        <f t="shared" si="9"/>
        <v>0</v>
      </c>
      <c r="H71" s="220">
        <f t="shared" si="10"/>
        <v>0</v>
      </c>
    </row>
    <row r="72" spans="2:10" ht="20" customHeight="1" x14ac:dyDescent="0.3">
      <c r="F72" s="208" t="s">
        <v>68</v>
      </c>
      <c r="G72" s="221">
        <f t="shared" si="9"/>
        <v>0</v>
      </c>
      <c r="H72" s="220">
        <f t="shared" si="10"/>
        <v>0</v>
      </c>
    </row>
    <row r="73" spans="2:10" ht="20" customHeight="1" x14ac:dyDescent="0.3">
      <c r="F73" s="208" t="s">
        <v>69</v>
      </c>
      <c r="G73" s="221">
        <f t="shared" si="9"/>
        <v>0</v>
      </c>
      <c r="H73" s="220">
        <f t="shared" si="10"/>
        <v>0</v>
      </c>
    </row>
    <row r="74" spans="2:10" ht="20" customHeight="1" x14ac:dyDescent="0.3">
      <c r="F74" s="208" t="s">
        <v>70</v>
      </c>
      <c r="G74" s="221">
        <f t="shared" si="9"/>
        <v>0</v>
      </c>
      <c r="H74" s="220">
        <f t="shared" si="10"/>
        <v>0</v>
      </c>
    </row>
    <row r="75" spans="2:10" ht="20" customHeight="1" x14ac:dyDescent="0.3">
      <c r="F75" s="208" t="s">
        <v>146</v>
      </c>
      <c r="G75" s="223">
        <f>+SUM(G69:G74)</f>
        <v>0</v>
      </c>
      <c r="H75" s="220" t="e">
        <f>+G75/($G$65*$D$64)</f>
        <v>#DIV/0!</v>
      </c>
    </row>
    <row r="76" spans="2:10" ht="13.5" thickBot="1" x14ac:dyDescent="0.35"/>
    <row r="77" spans="2:10" ht="30" customHeight="1" thickBot="1" x14ac:dyDescent="0.35">
      <c r="B77" s="191"/>
      <c r="C77" s="446" t="s">
        <v>107</v>
      </c>
      <c r="D77" s="446"/>
      <c r="E77" s="192"/>
      <c r="F77" s="192"/>
      <c r="G77" s="192"/>
      <c r="H77" s="192"/>
      <c r="I77" s="216"/>
      <c r="J77" s="193"/>
    </row>
    <row r="78" spans="2:10" ht="38" customHeight="1" x14ac:dyDescent="0.3">
      <c r="C78" s="208" t="s">
        <v>95</v>
      </c>
      <c r="D78" s="195">
        <f>SUMPRODUCT((LEFT(G21:G38, 5)="Scoop") / (COUNTIF(G21:G38, G21:G38 &amp; "") + (G21:G38="")))</f>
        <v>0</v>
      </c>
      <c r="E78" s="447" t="s">
        <v>90</v>
      </c>
      <c r="F78" s="447"/>
      <c r="G78" s="218">
        <v>0.20833333333333334</v>
      </c>
      <c r="I78" s="139"/>
      <c r="J78" s="190"/>
    </row>
    <row r="79" spans="2:10" ht="38" customHeight="1" x14ac:dyDescent="0.3">
      <c r="C79" s="208" t="s">
        <v>145</v>
      </c>
      <c r="D79" s="195">
        <v>4.9000000000000004</v>
      </c>
      <c r="E79" s="447" t="s">
        <v>97</v>
      </c>
      <c r="F79" s="447"/>
      <c r="G79" s="195">
        <f>15000/(60)</f>
        <v>250</v>
      </c>
      <c r="H79" s="219" t="s">
        <v>23</v>
      </c>
      <c r="I79" s="139"/>
      <c r="J79" s="190"/>
    </row>
    <row r="80" spans="2:10" ht="38" customHeight="1" x14ac:dyDescent="0.3">
      <c r="E80" s="448" t="s">
        <v>98</v>
      </c>
      <c r="F80" s="448"/>
      <c r="G80" s="207" t="e">
        <f>+SUM(SUMIF($G$21:$G$38, "Scoop*", $J$21:$J$38))/SUMPRODUCT((LEFT(G21:G38, 5)="Scoop") / (COUNTIF(G21:G38, G21:G38 &amp; "") + (G21:G38="")))</f>
        <v>#DIV/0!</v>
      </c>
      <c r="H80" s="220" t="e">
        <f>+G80*24/($G$78*24)</f>
        <v>#DIV/0!</v>
      </c>
      <c r="I80" s="190"/>
      <c r="J80" s="190"/>
    </row>
    <row r="81" spans="2:10" ht="38" customHeight="1" x14ac:dyDescent="0.3">
      <c r="E81" s="448" t="s">
        <v>99</v>
      </c>
      <c r="F81" s="448"/>
      <c r="G81" s="221" t="e">
        <f>+SUM(W21:W38)*D79/D78</f>
        <v>#DIV/0!</v>
      </c>
      <c r="H81" s="220" t="e">
        <f>+G81/G79</f>
        <v>#DIV/0!</v>
      </c>
      <c r="I81" s="190"/>
      <c r="J81" s="190"/>
    </row>
    <row r="82" spans="2:10" ht="38" customHeight="1" x14ac:dyDescent="0.3">
      <c r="G82" s="222" t="s">
        <v>96</v>
      </c>
      <c r="H82" s="139" t="s">
        <v>23</v>
      </c>
    </row>
    <row r="83" spans="2:10" ht="20" customHeight="1" x14ac:dyDescent="0.3">
      <c r="F83" s="208" t="s">
        <v>71</v>
      </c>
      <c r="G83" s="221">
        <f t="shared" ref="G83:G88" si="11" xml:space="preserve"> SUMIF($G$21:$G$38, +F83,$W$21:$W$38)*$D$79</f>
        <v>0</v>
      </c>
      <c r="H83" s="220">
        <f>+G83/$G$79</f>
        <v>0</v>
      </c>
    </row>
    <row r="84" spans="2:10" ht="20" customHeight="1" x14ac:dyDescent="0.3">
      <c r="F84" s="208" t="s">
        <v>72</v>
      </c>
      <c r="G84" s="221">
        <f t="shared" si="11"/>
        <v>0</v>
      </c>
      <c r="H84" s="220">
        <f t="shared" ref="H84:H89" si="12">+G84/$G$79</f>
        <v>0</v>
      </c>
    </row>
    <row r="85" spans="2:10" ht="20" customHeight="1" x14ac:dyDescent="0.3">
      <c r="F85" s="208" t="s">
        <v>73</v>
      </c>
      <c r="G85" s="221">
        <f t="shared" si="11"/>
        <v>0</v>
      </c>
      <c r="H85" s="220">
        <f t="shared" si="12"/>
        <v>0</v>
      </c>
    </row>
    <row r="86" spans="2:10" ht="20" customHeight="1" x14ac:dyDescent="0.3">
      <c r="F86" s="208" t="s">
        <v>74</v>
      </c>
      <c r="G86" s="221">
        <f t="shared" si="11"/>
        <v>0</v>
      </c>
      <c r="H86" s="220">
        <f t="shared" si="12"/>
        <v>0</v>
      </c>
    </row>
    <row r="87" spans="2:10" ht="20" customHeight="1" x14ac:dyDescent="0.3">
      <c r="F87" s="208" t="s">
        <v>75</v>
      </c>
      <c r="G87" s="221">
        <f t="shared" si="11"/>
        <v>0</v>
      </c>
      <c r="H87" s="220">
        <f t="shared" si="12"/>
        <v>0</v>
      </c>
    </row>
    <row r="88" spans="2:10" ht="20" customHeight="1" x14ac:dyDescent="0.3">
      <c r="F88" s="208" t="s">
        <v>76</v>
      </c>
      <c r="G88" s="221">
        <f t="shared" si="11"/>
        <v>0</v>
      </c>
      <c r="H88" s="220">
        <f t="shared" si="12"/>
        <v>0</v>
      </c>
    </row>
    <row r="89" spans="2:10" ht="20" customHeight="1" x14ac:dyDescent="0.3">
      <c r="F89" s="208" t="s">
        <v>146</v>
      </c>
      <c r="G89" s="223">
        <f>+SUM(G83:G88)</f>
        <v>0</v>
      </c>
      <c r="H89" s="220">
        <f t="shared" si="12"/>
        <v>0</v>
      </c>
    </row>
    <row r="90" spans="2:10" ht="13.5" thickBot="1" x14ac:dyDescent="0.35"/>
    <row r="91" spans="2:10" ht="30" customHeight="1" thickBot="1" x14ac:dyDescent="0.35">
      <c r="B91" s="191"/>
      <c r="C91" s="446" t="s">
        <v>149</v>
      </c>
      <c r="D91" s="446"/>
      <c r="E91" s="192"/>
      <c r="F91" s="192"/>
      <c r="G91" s="192"/>
      <c r="H91" s="192"/>
      <c r="I91" s="216"/>
      <c r="J91" s="193"/>
    </row>
    <row r="92" spans="2:10" ht="25.25" customHeight="1" x14ac:dyDescent="0.3">
      <c r="C92" s="208" t="s">
        <v>150</v>
      </c>
      <c r="D92" s="195">
        <f>SUMPRODUCT((LEFT(G21:G38, 8)="Roboshot") / (COUNTIF(G21:G38, G21:G38 &amp; "") + (G21:G38="")))</f>
        <v>0</v>
      </c>
      <c r="E92" s="447" t="s">
        <v>90</v>
      </c>
      <c r="F92" s="447"/>
      <c r="G92" s="218">
        <v>0.20833333333333334</v>
      </c>
    </row>
    <row r="93" spans="2:10" x14ac:dyDescent="0.3">
      <c r="C93" s="208"/>
      <c r="D93" s="195"/>
      <c r="E93" s="447" t="s">
        <v>97</v>
      </c>
      <c r="F93" s="447"/>
      <c r="G93" s="195">
        <v>12</v>
      </c>
      <c r="H93" s="219" t="s">
        <v>23</v>
      </c>
    </row>
    <row r="95" spans="2:10" x14ac:dyDescent="0.3">
      <c r="G95" s="222" t="s">
        <v>96</v>
      </c>
      <c r="H95" s="139" t="s">
        <v>23</v>
      </c>
    </row>
    <row r="96" spans="2:10" x14ac:dyDescent="0.3">
      <c r="F96" s="208" t="s">
        <v>77</v>
      </c>
      <c r="G96" s="221">
        <f xml:space="preserve"> SUMIF($G$21:$G$38, +F96,$X$21:$X$38)</f>
        <v>0</v>
      </c>
      <c r="H96" s="220">
        <f>+G96/$G$93</f>
        <v>0</v>
      </c>
    </row>
    <row r="97" spans="6:8" x14ac:dyDescent="0.3">
      <c r="F97" s="208" t="s">
        <v>78</v>
      </c>
      <c r="G97" s="221">
        <f xml:space="preserve"> SUMIF($G$21:$G$38, +F97,$X$21:$X$38)</f>
        <v>0</v>
      </c>
      <c r="H97" s="220">
        <f t="shared" ref="H97:H98" si="13">+G97/$G$93</f>
        <v>0</v>
      </c>
    </row>
    <row r="98" spans="6:8" x14ac:dyDescent="0.3">
      <c r="F98" s="208" t="s">
        <v>79</v>
      </c>
      <c r="G98" s="221">
        <f xml:space="preserve"> SUMIF($G$21:$G$38, +F98,$X$21:$X$38)</f>
        <v>0</v>
      </c>
      <c r="H98" s="220">
        <f t="shared" si="13"/>
        <v>0</v>
      </c>
    </row>
    <row r="99" spans="6:8" x14ac:dyDescent="0.3">
      <c r="F99" s="208" t="s">
        <v>146</v>
      </c>
      <c r="G99" s="223">
        <f>+SUM(G96:G98)</f>
        <v>0</v>
      </c>
      <c r="H99" s="220">
        <f>+G99/$G$93</f>
        <v>0</v>
      </c>
    </row>
  </sheetData>
  <mergeCells count="41">
    <mergeCell ref="K8:L8"/>
    <mergeCell ref="B1:D4"/>
    <mergeCell ref="E2:R2"/>
    <mergeCell ref="E3:R4"/>
    <mergeCell ref="K6:L6"/>
    <mergeCell ref="K7:L7"/>
    <mergeCell ref="E51:G51"/>
    <mergeCell ref="K9:L9"/>
    <mergeCell ref="K10:L10"/>
    <mergeCell ref="K11:L11"/>
    <mergeCell ref="K12:L12"/>
    <mergeCell ref="B14:S14"/>
    <mergeCell ref="C43:D43"/>
    <mergeCell ref="G43:H43"/>
    <mergeCell ref="I43:J43"/>
    <mergeCell ref="K43:L43"/>
    <mergeCell ref="E44:F44"/>
    <mergeCell ref="E45:F45"/>
    <mergeCell ref="E46:F46"/>
    <mergeCell ref="E49:G49"/>
    <mergeCell ref="E50:G50"/>
    <mergeCell ref="E52:G52"/>
    <mergeCell ref="E53:G53"/>
    <mergeCell ref="E55:G55"/>
    <mergeCell ref="E57:G57"/>
    <mergeCell ref="E58:G58"/>
    <mergeCell ref="C91:D91"/>
    <mergeCell ref="E92:F92"/>
    <mergeCell ref="C63:D63"/>
    <mergeCell ref="E64:F64"/>
    <mergeCell ref="E65:F65"/>
    <mergeCell ref="E66:F66"/>
    <mergeCell ref="E67:F67"/>
    <mergeCell ref="C77:D77"/>
    <mergeCell ref="E93:F93"/>
    <mergeCell ref="E54:G54"/>
    <mergeCell ref="E78:F78"/>
    <mergeCell ref="E79:F79"/>
    <mergeCell ref="E80:F80"/>
    <mergeCell ref="E81:F81"/>
    <mergeCell ref="E59:G59"/>
  </mergeCells>
  <conditionalFormatting sqref="H45:H46 J45:J46">
    <cfRule type="cellIs" dxfId="566" priority="13" operator="greaterThan">
      <formula>0.9</formula>
    </cfRule>
    <cfRule type="cellIs" dxfId="565" priority="14" operator="between">
      <formula>0.81</formula>
      <formula>0.89</formula>
    </cfRule>
    <cfRule type="cellIs" dxfId="564" priority="15" operator="lessThan">
      <formula>0.8</formula>
    </cfRule>
  </conditionalFormatting>
  <conditionalFormatting sqref="H66:H67">
    <cfRule type="cellIs" dxfId="563" priority="16" operator="greaterThan">
      <formula>0.9</formula>
    </cfRule>
    <cfRule type="cellIs" dxfId="562" priority="17" operator="between">
      <formula>0.81</formula>
      <formula>0.89</formula>
    </cfRule>
    <cfRule type="cellIs" dxfId="561" priority="18" operator="lessThan">
      <formula>0.8</formula>
    </cfRule>
  </conditionalFormatting>
  <conditionalFormatting sqref="H69:H75">
    <cfRule type="cellIs" dxfId="560" priority="19" operator="greaterThan">
      <formula>0.9</formula>
    </cfRule>
    <cfRule type="cellIs" dxfId="559" priority="20" operator="between">
      <formula>0.81</formula>
      <formula>0.89</formula>
    </cfRule>
    <cfRule type="cellIs" dxfId="558" priority="21" operator="lessThan">
      <formula>0.8</formula>
    </cfRule>
  </conditionalFormatting>
  <conditionalFormatting sqref="H80:H81">
    <cfRule type="cellIs" dxfId="557" priority="7" operator="greaterThan">
      <formula>0.9</formula>
    </cfRule>
    <cfRule type="cellIs" dxfId="556" priority="8" operator="between">
      <formula>0.81</formula>
      <formula>0.89</formula>
    </cfRule>
    <cfRule type="cellIs" dxfId="555" priority="9" operator="lessThan">
      <formula>0.8</formula>
    </cfRule>
  </conditionalFormatting>
  <conditionalFormatting sqref="H83:H89">
    <cfRule type="cellIs" dxfId="554" priority="10" operator="greaterThan">
      <formula>0.9</formula>
    </cfRule>
    <cfRule type="cellIs" dxfId="553" priority="11" operator="between">
      <formula>0.81</formula>
      <formula>0.89</formula>
    </cfRule>
    <cfRule type="cellIs" dxfId="552" priority="12" operator="lessThan">
      <formula>0.8</formula>
    </cfRule>
  </conditionalFormatting>
  <conditionalFormatting sqref="H96:H99">
    <cfRule type="cellIs" dxfId="551" priority="4" operator="greaterThan">
      <formula>0.9</formula>
    </cfRule>
    <cfRule type="cellIs" dxfId="550" priority="5" operator="between">
      <formula>0.81</formula>
      <formula>0.89</formula>
    </cfRule>
    <cfRule type="cellIs" dxfId="549" priority="6" operator="lessThan">
      <formula>0.8</formula>
    </cfRule>
  </conditionalFormatting>
  <conditionalFormatting sqref="L45:L46">
    <cfRule type="cellIs" dxfId="548" priority="1" operator="greaterThan">
      <formula>0.9</formula>
    </cfRule>
    <cfRule type="cellIs" dxfId="547" priority="2" operator="between">
      <formula>0.81</formula>
      <formula>0.89</formula>
    </cfRule>
    <cfRule type="cellIs" dxfId="546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348FCEB-E809-4F1C-93EA-82AEA38CA68F}">
          <x14:formula1>
            <xm:f>Datos!$F$3:$F$41</xm:f>
          </x14:formula1>
          <xm:sqref>G33:G41 G21:G30</xm:sqref>
        </x14:dataValidation>
        <x14:dataValidation type="list" allowBlank="1" showInputMessage="1" showErrorMessage="1" xr:uid="{6C97CA17-0F8C-420D-AEE3-0A2E35B82B92}">
          <x14:formula1>
            <xm:f>Datos!$W$3:$W$12</xm:f>
          </x14:formula1>
          <xm:sqref>L33:L41 L21:L30</xm:sqref>
        </x14:dataValidation>
        <x14:dataValidation type="list" allowBlank="1" showInputMessage="1" showErrorMessage="1" xr:uid="{BE807771-400C-4CF1-BF81-059A6DA31A69}">
          <x14:formula1>
            <xm:f>Datos!$D$3:$D$27</xm:f>
          </x14:formula1>
          <xm:sqref>F33:F41 F21:F30</xm:sqref>
        </x14:dataValidation>
        <x14:dataValidation type="list" allowBlank="1" showInputMessage="1" showErrorMessage="1" xr:uid="{801769F6-CEEA-4859-B76C-7D8F2535C464}">
          <x14:formula1>
            <xm:f>Datos!$B$3:$B$8</xm:f>
          </x14:formula1>
          <xm:sqref>E33:E41 E21:E30</xm:sqref>
        </x14:dataValidation>
        <x14:dataValidation type="list" allowBlank="1" showInputMessage="1" showErrorMessage="1" xr:uid="{4930C4E7-8BE1-4506-BA9E-44F737616D28}">
          <x14:formula1>
            <xm:f>Datos!$H$3:$H$34</xm:f>
          </x14:formula1>
          <xm:sqref>D33:D40 D21:D29</xm:sqref>
        </x14:dataValidation>
        <x14:dataValidation type="list" allowBlank="1" showInputMessage="1" showErrorMessage="1" xr:uid="{96384A1D-A8C6-4EAA-AE82-853A61441AAF}">
          <x14:formula1>
            <xm:f>Datos!$H$3:$H$26</xm:f>
          </x14:formula1>
          <xm:sqref>D30 D41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D9500-BCD9-4E22-A572-BE893216F6F1}">
  <sheetPr>
    <pageSetUpPr fitToPage="1"/>
  </sheetPr>
  <dimension ref="B1:X100"/>
  <sheetViews>
    <sheetView showGridLines="0" topLeftCell="A19" zoomScale="70" zoomScaleNormal="70" zoomScaleSheetLayoutView="50" workbookViewId="0">
      <pane xSplit="3" ySplit="2" topLeftCell="D30" activePane="bottomRight" state="frozen"/>
      <selection activeCell="K27" sqref="K27"/>
      <selection pane="topRight" activeCell="K27" sqref="K27"/>
      <selection pane="bottomLeft" activeCell="K27" sqref="K27"/>
      <selection pane="bottomRight" activeCell="K37" sqref="K37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+G46</f>
        <v>1.1534722222222222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+H47</f>
        <v>0.75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+G76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+G90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+G100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227</v>
      </c>
      <c r="E21" s="172"/>
      <c r="F21" s="172"/>
      <c r="G21" s="172"/>
      <c r="H21" s="174">
        <v>0.33333333333333331</v>
      </c>
      <c r="I21" s="174">
        <v>0.73333333333333328</v>
      </c>
      <c r="J21" s="175">
        <f>I21-H21</f>
        <v>0.39999999999999997</v>
      </c>
      <c r="K21" s="178">
        <v>60</v>
      </c>
      <c r="L21" s="177" t="s">
        <v>441</v>
      </c>
      <c r="M21" s="178">
        <v>3.8</v>
      </c>
      <c r="N21" s="179">
        <v>0.5</v>
      </c>
      <c r="O21" s="186" t="s">
        <v>440</v>
      </c>
      <c r="P21" s="173" t="s">
        <v>442</v>
      </c>
      <c r="Q21" s="174">
        <v>0.33333333333333331</v>
      </c>
      <c r="R21" s="174">
        <v>0.61111111111111116</v>
      </c>
      <c r="S21" s="175">
        <f>+MOD(R21-Q21,1)</f>
        <v>0.27777777777777785</v>
      </c>
      <c r="U21" s="182">
        <f>+IFERROR(VLOOKUP(D21,Datos!$R$3:$T$19,3,FALSE), "0")*N21</f>
        <v>4.1642897889332571E-2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349</v>
      </c>
      <c r="E22" s="172"/>
      <c r="F22" s="172"/>
      <c r="G22" s="172"/>
      <c r="H22" s="174">
        <v>0.73402777777777772</v>
      </c>
      <c r="I22" s="174">
        <v>0.75486111111111109</v>
      </c>
      <c r="J22" s="175">
        <f>I22-H22</f>
        <v>2.083333333333337E-2</v>
      </c>
      <c r="K22" s="178"/>
      <c r="L22" s="177"/>
      <c r="M22" s="178"/>
      <c r="N22" s="179">
        <v>1</v>
      </c>
      <c r="O22" s="225"/>
      <c r="P22" s="181"/>
      <c r="Q22" s="174"/>
      <c r="R22" s="172"/>
      <c r="S22" s="175">
        <f t="shared" ref="S22:S31" si="0">+MOD(R22-Q22,1)</f>
        <v>0</v>
      </c>
      <c r="U22" s="182">
        <f>+IFERROR(VLOOKUP(D22,Datos!$R$3:$T$19,3,FALSE), "0")*N22</f>
        <v>0</v>
      </c>
      <c r="V22" s="183" t="str">
        <f t="shared" ref="V22:V31" si="1">IF(OR(D22="Perforación de Fortificación", D22="Perforación de Avance", D22="Perforación Desquinche"), K22*M22, "")</f>
        <v/>
      </c>
      <c r="W22" s="183" t="str">
        <f t="shared" ref="W22:W31" si="2">IF(D22="Extracción de Marina Disparo",K22,"")</f>
        <v/>
      </c>
      <c r="X22" s="183" t="str">
        <f t="shared" ref="X22:X31" si="3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/>
      <c r="E23" s="172"/>
      <c r="F23" s="172"/>
      <c r="G23" s="172"/>
      <c r="H23" s="174"/>
      <c r="I23" s="174"/>
      <c r="J23" s="175"/>
      <c r="K23" s="178"/>
      <c r="L23" s="177"/>
      <c r="M23" s="178"/>
      <c r="N23" s="179"/>
      <c r="O23" s="186"/>
      <c r="P23" s="181"/>
      <c r="Q23" s="174"/>
      <c r="R23" s="172"/>
      <c r="S23" s="175">
        <f t="shared" si="0"/>
        <v>0</v>
      </c>
      <c r="U23" s="182">
        <f>+IFERROR(VLOOKUP(D23,Datos!$R$3:$T$19,3,FALSE), "0")*N23</f>
        <v>0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/>
      <c r="E24" s="172"/>
      <c r="F24" s="172"/>
      <c r="G24" s="172"/>
      <c r="H24" s="174"/>
      <c r="I24" s="174"/>
      <c r="J24" s="175"/>
      <c r="K24" s="178"/>
      <c r="L24" s="177"/>
      <c r="M24" s="178"/>
      <c r="N24" s="179"/>
      <c r="O24" s="186"/>
      <c r="P24" s="181"/>
      <c r="Q24" s="174"/>
      <c r="R24" s="174"/>
      <c r="S24" s="175"/>
      <c r="U24" s="182">
        <f>+IFERROR(VLOOKUP(D24,Datos!$R$3:$T$19,3,FALSE), "0")*N24</f>
        <v>0</v>
      </c>
      <c r="V24" s="183" t="str">
        <f t="shared" si="1"/>
        <v/>
      </c>
      <c r="W24" s="183" t="str">
        <f t="shared" si="2"/>
        <v/>
      </c>
      <c r="X24" s="183" t="str">
        <f t="shared" si="3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225"/>
      <c r="P25" s="181"/>
      <c r="Q25" s="174"/>
      <c r="R25" s="174"/>
      <c r="S25" s="175"/>
      <c r="U25" s="182">
        <f>+IFERROR(VLOOKUP(D25,Datos!$R$3:$T$19,3,FALSE), "0")*N25</f>
        <v>0</v>
      </c>
      <c r="V25" s="183" t="str">
        <f t="shared" si="1"/>
        <v/>
      </c>
      <c r="W25" s="183" t="str">
        <f t="shared" si="2"/>
        <v/>
      </c>
      <c r="X25" s="183" t="str">
        <f t="shared" si="3"/>
        <v/>
      </c>
    </row>
    <row r="26" spans="2:24" ht="38" customHeight="1" x14ac:dyDescent="0.3">
      <c r="B26" s="172"/>
      <c r="C26" s="173"/>
      <c r="D26" s="173" t="s">
        <v>110</v>
      </c>
      <c r="E26" s="172"/>
      <c r="F26" s="172"/>
      <c r="G26" s="172"/>
      <c r="H26" s="174">
        <v>0.33333333333333331</v>
      </c>
      <c r="I26" s="174">
        <v>0.41666666666666669</v>
      </c>
      <c r="J26" s="175">
        <f>I26-H26</f>
        <v>8.333333333333337E-2</v>
      </c>
      <c r="K26" s="178"/>
      <c r="L26" s="177"/>
      <c r="M26" s="178"/>
      <c r="N26" s="179"/>
      <c r="O26" s="186" t="s">
        <v>443</v>
      </c>
      <c r="P26" s="181"/>
      <c r="Q26" s="174"/>
      <c r="R26" s="174"/>
      <c r="S26" s="175"/>
      <c r="U26" s="182">
        <f>+IFERROR(VLOOKUP(D26,Datos!$R$3:$T$19,3,FALSE), "0")*N26</f>
        <v>0</v>
      </c>
      <c r="V26" s="183"/>
      <c r="W26" s="183"/>
      <c r="X26" s="183"/>
    </row>
    <row r="27" spans="2:24" ht="38" customHeight="1" x14ac:dyDescent="0.3">
      <c r="B27" s="172"/>
      <c r="C27" s="173"/>
      <c r="D27" s="173" t="s">
        <v>110</v>
      </c>
      <c r="E27" s="172"/>
      <c r="F27" s="172"/>
      <c r="G27" s="172"/>
      <c r="H27" s="174">
        <v>0.41666666666666669</v>
      </c>
      <c r="I27" s="174">
        <v>0.4375</v>
      </c>
      <c r="J27" s="175">
        <f>I27-H27</f>
        <v>2.0833333333333315E-2</v>
      </c>
      <c r="K27" s="178"/>
      <c r="L27" s="177"/>
      <c r="M27" s="178"/>
      <c r="N27" s="179"/>
      <c r="O27" s="186" t="s">
        <v>444</v>
      </c>
      <c r="P27" s="181"/>
      <c r="Q27" s="174"/>
      <c r="R27" s="174"/>
      <c r="S27" s="175"/>
      <c r="U27" s="182"/>
      <c r="V27" s="183"/>
      <c r="W27" s="183"/>
      <c r="X27" s="183"/>
    </row>
    <row r="28" spans="2:24" ht="38" customHeight="1" x14ac:dyDescent="0.3">
      <c r="B28" s="172"/>
      <c r="C28" s="173"/>
      <c r="D28" s="173" t="s">
        <v>110</v>
      </c>
      <c r="E28" s="172"/>
      <c r="F28" s="172"/>
      <c r="G28" s="172"/>
      <c r="H28" s="174">
        <v>0.61111111111111116</v>
      </c>
      <c r="I28" s="174">
        <v>0.6875</v>
      </c>
      <c r="J28" s="175">
        <f>I28-H28</f>
        <v>7.638888888888884E-2</v>
      </c>
      <c r="K28" s="178"/>
      <c r="L28" s="177"/>
      <c r="M28" s="178"/>
      <c r="N28" s="179"/>
      <c r="O28" s="186" t="s">
        <v>445</v>
      </c>
      <c r="P28" s="181"/>
      <c r="Q28" s="174"/>
      <c r="R28" s="174"/>
      <c r="S28" s="175"/>
      <c r="U28" s="182">
        <f>+IFERROR(VLOOKUP(D28,Datos!$R$3:$T$19,3,FALSE), "0")*N28</f>
        <v>0</v>
      </c>
      <c r="V28" s="183"/>
      <c r="W28" s="183"/>
      <c r="X28" s="183"/>
    </row>
    <row r="29" spans="2:24" ht="38" customHeight="1" x14ac:dyDescent="0.3">
      <c r="B29" s="172"/>
      <c r="C29" s="173"/>
      <c r="D29" s="173" t="s">
        <v>110</v>
      </c>
      <c r="E29" s="172"/>
      <c r="F29" s="172"/>
      <c r="G29" s="172"/>
      <c r="H29" s="174">
        <v>0.63541666666666663</v>
      </c>
      <c r="I29" s="174">
        <v>0.6875</v>
      </c>
      <c r="J29" s="175">
        <f>I29-H29</f>
        <v>5.208333333333337E-2</v>
      </c>
      <c r="K29" s="178"/>
      <c r="L29" s="177"/>
      <c r="M29" s="178"/>
      <c r="N29" s="179"/>
      <c r="O29" s="186" t="s">
        <v>445</v>
      </c>
      <c r="P29" s="181"/>
      <c r="Q29" s="174"/>
      <c r="R29" s="174"/>
      <c r="S29" s="175"/>
      <c r="U29" s="182">
        <f>+IFERROR(VLOOKUP(D29,Datos!$R$3:$T$19,3,FALSE), "0")*N29</f>
        <v>0</v>
      </c>
      <c r="V29" s="183"/>
      <c r="W29" s="183"/>
      <c r="X29" s="183"/>
    </row>
    <row r="30" spans="2:24" ht="37.75" customHeight="1" x14ac:dyDescent="0.3">
      <c r="B30" s="172"/>
      <c r="C30" s="173"/>
      <c r="D30" s="173" t="s">
        <v>110</v>
      </c>
      <c r="E30" s="172"/>
      <c r="F30" s="172"/>
      <c r="G30" s="172"/>
      <c r="H30" s="174">
        <v>0.33333333333333331</v>
      </c>
      <c r="I30" s="174">
        <v>0.83333333333333337</v>
      </c>
      <c r="J30" s="175">
        <f>I30-H30</f>
        <v>0.5</v>
      </c>
      <c r="K30" s="178"/>
      <c r="L30" s="177"/>
      <c r="M30" s="178"/>
      <c r="N30" s="179"/>
      <c r="O30" s="186" t="s">
        <v>436</v>
      </c>
      <c r="P30" s="181"/>
      <c r="Q30" s="174"/>
      <c r="R30" s="174"/>
      <c r="S30" s="175"/>
      <c r="U30" s="182">
        <f>+IFERROR(VLOOKUP(D30,Datos!$R$3:$T$19,3,FALSE), "0")*N30</f>
        <v>0</v>
      </c>
      <c r="V30" s="183" t="str">
        <f t="shared" si="1"/>
        <v/>
      </c>
      <c r="W30" s="183" t="str">
        <f t="shared" si="2"/>
        <v/>
      </c>
      <c r="X30" s="183" t="str">
        <f t="shared" si="3"/>
        <v/>
      </c>
    </row>
    <row r="31" spans="2:24" ht="38" customHeight="1" x14ac:dyDescent="0.3">
      <c r="B31" s="172"/>
      <c r="C31" s="173"/>
      <c r="D31" s="173"/>
      <c r="E31" s="172"/>
      <c r="F31" s="172"/>
      <c r="G31" s="172"/>
      <c r="H31" s="174"/>
      <c r="I31" s="174" t="s">
        <v>329</v>
      </c>
      <c r="J31" s="175">
        <f>MOD(I22-H21, 1)</f>
        <v>0.42152777777777778</v>
      </c>
      <c r="K31" s="178"/>
      <c r="L31" s="177"/>
      <c r="M31" s="178"/>
      <c r="N31" s="179"/>
      <c r="O31" s="186"/>
      <c r="P31" s="172"/>
      <c r="Q31" s="172"/>
      <c r="R31" s="172"/>
      <c r="S31" s="175">
        <f t="shared" si="0"/>
        <v>0</v>
      </c>
      <c r="U31" s="182">
        <f>SUM(U21:U30)</f>
        <v>4.1642897889332571E-2</v>
      </c>
      <c r="V31" s="183" t="str">
        <f t="shared" si="1"/>
        <v/>
      </c>
      <c r="W31" s="183" t="str">
        <f t="shared" si="2"/>
        <v/>
      </c>
      <c r="X31" s="183" t="str">
        <f t="shared" si="3"/>
        <v/>
      </c>
    </row>
    <row r="32" spans="2:24" x14ac:dyDescent="0.3">
      <c r="B32" s="185" t="s">
        <v>158</v>
      </c>
      <c r="C32" s="63" t="s">
        <v>194</v>
      </c>
      <c r="D32" s="63"/>
      <c r="E32" s="63"/>
      <c r="F32" s="63"/>
      <c r="G32" s="63"/>
      <c r="H32" s="63"/>
      <c r="I32" s="63"/>
      <c r="J32" s="64"/>
      <c r="K32" s="64"/>
      <c r="L32" s="171"/>
      <c r="M32" s="63"/>
      <c r="N32" s="64"/>
      <c r="O32" s="64"/>
      <c r="P32" s="63"/>
      <c r="Q32" s="63"/>
      <c r="R32" s="63"/>
      <c r="S32" s="64"/>
      <c r="U32" s="63"/>
      <c r="V32" s="64"/>
      <c r="W32" s="64"/>
      <c r="X32" s="64"/>
    </row>
    <row r="33" spans="2:24" ht="52" x14ac:dyDescent="0.3">
      <c r="B33" s="63" t="s">
        <v>3</v>
      </c>
      <c r="C33" s="63" t="s">
        <v>2</v>
      </c>
      <c r="D33" s="63" t="s">
        <v>5</v>
      </c>
      <c r="E33" s="63" t="s">
        <v>22</v>
      </c>
      <c r="F33" s="63" t="s">
        <v>139</v>
      </c>
      <c r="G33" s="63" t="s">
        <v>29</v>
      </c>
      <c r="H33" s="63" t="s">
        <v>121</v>
      </c>
      <c r="I33" s="63" t="s">
        <v>4</v>
      </c>
      <c r="J33" s="64" t="s">
        <v>122</v>
      </c>
      <c r="K33" s="64" t="s">
        <v>131</v>
      </c>
      <c r="L33" s="171" t="s">
        <v>123</v>
      </c>
      <c r="M33" s="63" t="s">
        <v>134</v>
      </c>
      <c r="N33" s="64" t="s">
        <v>24</v>
      </c>
      <c r="O33" s="64" t="s">
        <v>130</v>
      </c>
      <c r="P33" s="63" t="s">
        <v>132</v>
      </c>
      <c r="Q33" s="63" t="s">
        <v>121</v>
      </c>
      <c r="R33" s="63" t="s">
        <v>4</v>
      </c>
      <c r="S33" s="64" t="s">
        <v>137</v>
      </c>
      <c r="U33" s="63" t="s">
        <v>109</v>
      </c>
      <c r="V33" s="64" t="s">
        <v>87</v>
      </c>
      <c r="W33" s="64" t="s">
        <v>128</v>
      </c>
      <c r="X33" s="64" t="s">
        <v>128</v>
      </c>
    </row>
    <row r="34" spans="2:24" ht="38" customHeight="1" x14ac:dyDescent="0.3">
      <c r="B34" s="172">
        <v>3700</v>
      </c>
      <c r="C34" s="173" t="str">
        <f>+Datos!$R$23</f>
        <v>Ciclo Minero 5,2 x 5,6 m
Galería Acceso Portal de Servicio</v>
      </c>
      <c r="D34" s="173" t="s">
        <v>110</v>
      </c>
      <c r="E34" s="172"/>
      <c r="F34" s="172"/>
      <c r="G34" s="172"/>
      <c r="H34" s="174">
        <v>0.33333333333333331</v>
      </c>
      <c r="I34" s="174">
        <v>0.83333333333333337</v>
      </c>
      <c r="J34" s="175">
        <f>I34-H34</f>
        <v>0.5</v>
      </c>
      <c r="K34" s="178"/>
      <c r="L34" s="177"/>
      <c r="M34" s="178"/>
      <c r="N34" s="179">
        <v>1</v>
      </c>
      <c r="O34" s="186" t="s">
        <v>428</v>
      </c>
      <c r="P34" s="225"/>
      <c r="Q34" s="174"/>
      <c r="R34" s="174"/>
      <c r="S34" s="175"/>
      <c r="U34" s="187">
        <f>+IFERROR(VLOOKUP(D34,Datos!$R$24:$T$40,3,FALSE), "0")*N34</f>
        <v>0</v>
      </c>
      <c r="V34" s="183" t="str">
        <f t="shared" ref="V34:V42" si="4">IF(OR(D34="Perforación de Fortificación", D34="Perforación de Avance", D34="Perforación Desquinche"), K34*M34, "")</f>
        <v/>
      </c>
      <c r="W34" s="183" t="str">
        <f>IF(D34="Extracción de Marina Disparo",K34,"")</f>
        <v/>
      </c>
      <c r="X34" s="183" t="str">
        <f t="shared" ref="X34:X42" si="5">IF(OR(D34="Shotcrete", D34="Pre Shotcrete"), K34, "")</f>
        <v/>
      </c>
    </row>
    <row r="35" spans="2:24" ht="38" customHeight="1" x14ac:dyDescent="0.3">
      <c r="B35" s="172">
        <v>3700</v>
      </c>
      <c r="C35" s="173" t="str">
        <f>+Datos!$R$23</f>
        <v>Ciclo Minero 5,2 x 5,6 m
Galería Acceso Portal de Servicio</v>
      </c>
      <c r="D35" s="173"/>
      <c r="E35" s="172"/>
      <c r="F35" s="172"/>
      <c r="G35" s="172"/>
      <c r="H35" s="174"/>
      <c r="I35" s="174"/>
      <c r="J35" s="175"/>
      <c r="K35" s="178"/>
      <c r="L35" s="177"/>
      <c r="M35" s="178"/>
      <c r="N35" s="179"/>
      <c r="O35" s="225"/>
      <c r="P35" s="173"/>
      <c r="Q35" s="174"/>
      <c r="R35" s="174"/>
      <c r="S35" s="175"/>
      <c r="U35" s="187">
        <f>+IFERROR(VLOOKUP(D35,Datos!$R$24:$T$40,3,FALSE), "0")*N35</f>
        <v>0</v>
      </c>
      <c r="V35" s="183" t="str">
        <f t="shared" si="4"/>
        <v/>
      </c>
      <c r="W35" s="183" t="str">
        <f>IF(D35="Extracción de Marina Disparo",K35,"")</f>
        <v/>
      </c>
      <c r="X35" s="183" t="str">
        <f t="shared" si="5"/>
        <v/>
      </c>
    </row>
    <row r="36" spans="2:24" ht="53.4" customHeight="1" x14ac:dyDescent="0.3">
      <c r="B36" s="172">
        <v>3700</v>
      </c>
      <c r="C36" s="173" t="str">
        <f>+C34</f>
        <v>Ciclo Minero 5,2 x 5,6 m
Galería Acceso Portal de Servicio</v>
      </c>
      <c r="D36" s="173"/>
      <c r="E36" s="172"/>
      <c r="F36" s="172"/>
      <c r="G36" s="172"/>
      <c r="H36" s="174"/>
      <c r="I36" s="174"/>
      <c r="J36" s="175"/>
      <c r="K36" s="178"/>
      <c r="L36" s="177"/>
      <c r="M36" s="178"/>
      <c r="N36" s="179"/>
      <c r="O36" s="225"/>
      <c r="P36" s="181"/>
      <c r="Q36" s="174"/>
      <c r="R36" s="174"/>
      <c r="S36" s="175"/>
      <c r="U36" s="187">
        <f>+IFERROR(VLOOKUP(D36,Datos!$R$24:$T$40,3,FALSE), "0")*N36</f>
        <v>0</v>
      </c>
      <c r="V36" s="183" t="str">
        <f t="shared" si="4"/>
        <v/>
      </c>
      <c r="W36" s="183" t="str">
        <f t="shared" ref="W36:W42" si="6">IF(D36="Extracción de Marina Disparo",K36,"")</f>
        <v/>
      </c>
      <c r="X36" s="183" t="str">
        <f t="shared" si="5"/>
        <v/>
      </c>
    </row>
    <row r="37" spans="2:24" ht="38" customHeight="1" x14ac:dyDescent="0.3">
      <c r="B37" s="172">
        <v>3700</v>
      </c>
      <c r="C37" s="173" t="s">
        <v>397</v>
      </c>
      <c r="D37" s="173"/>
      <c r="E37" s="172"/>
      <c r="F37" s="172"/>
      <c r="G37" s="172"/>
      <c r="H37" s="174"/>
      <c r="I37" s="174"/>
      <c r="J37" s="175"/>
      <c r="K37" s="178"/>
      <c r="L37" s="177"/>
      <c r="M37" s="178"/>
      <c r="N37" s="179"/>
      <c r="O37" s="186"/>
      <c r="P37" s="172"/>
      <c r="Q37" s="172"/>
      <c r="R37" s="172"/>
      <c r="S37" s="175"/>
      <c r="U37" s="187">
        <f>+IFERROR(VLOOKUP(D37,Datos!$R$24:$T$40,3,FALSE), "0")*N37</f>
        <v>0</v>
      </c>
      <c r="V37" s="183" t="str">
        <f t="shared" si="4"/>
        <v/>
      </c>
      <c r="W37" s="183" t="str">
        <f t="shared" si="6"/>
        <v/>
      </c>
      <c r="X37" s="183"/>
    </row>
    <row r="38" spans="2:24" ht="38" customHeight="1" x14ac:dyDescent="0.3">
      <c r="B38" s="172">
        <v>3700</v>
      </c>
      <c r="C38" s="173" t="str">
        <f>+C37</f>
        <v>Fróntón Bodega</v>
      </c>
      <c r="D38" s="173"/>
      <c r="E38" s="172"/>
      <c r="F38" s="172"/>
      <c r="G38" s="172"/>
      <c r="H38" s="174"/>
      <c r="I38" s="174"/>
      <c r="J38" s="175"/>
      <c r="K38" s="178"/>
      <c r="L38" s="177"/>
      <c r="M38" s="178"/>
      <c r="N38" s="179"/>
      <c r="O38" s="186"/>
      <c r="P38" s="181"/>
      <c r="Q38" s="174"/>
      <c r="R38" s="174"/>
      <c r="S38" s="175"/>
      <c r="U38" s="187">
        <f>+IFERROR(VLOOKUP(D38,Datos!$R$24:$T$40,3,FALSE), "0")*N38</f>
        <v>0</v>
      </c>
      <c r="V38" s="183" t="str">
        <f t="shared" si="4"/>
        <v/>
      </c>
      <c r="W38" s="183" t="str">
        <f t="shared" si="6"/>
        <v/>
      </c>
      <c r="X38" s="183" t="str">
        <f t="shared" si="5"/>
        <v/>
      </c>
    </row>
    <row r="39" spans="2:24" ht="38" customHeight="1" x14ac:dyDescent="0.3">
      <c r="B39" s="172"/>
      <c r="C39" s="173"/>
      <c r="D39" s="173"/>
      <c r="E39" s="172"/>
      <c r="F39" s="172"/>
      <c r="G39" s="172"/>
      <c r="H39" s="174"/>
      <c r="I39" s="174"/>
      <c r="J39" s="175">
        <f>MOD(I39-H39, 1)</f>
        <v>0</v>
      </c>
      <c r="K39" s="178"/>
      <c r="L39" s="177"/>
      <c r="M39" s="178"/>
      <c r="N39" s="179"/>
      <c r="O39" s="225"/>
      <c r="P39" s="172"/>
      <c r="Q39" s="172"/>
      <c r="R39" s="172"/>
      <c r="S39" s="175">
        <f t="shared" ref="S39:S42" si="7">+MOD(R39-Q39,1)</f>
        <v>0</v>
      </c>
      <c r="U39" s="187">
        <f>+IFERROR(VLOOKUP(D39,Datos!$R$24:$T$40,3,FALSE), "0")*N39</f>
        <v>0</v>
      </c>
      <c r="V39" s="183" t="str">
        <f t="shared" si="4"/>
        <v/>
      </c>
      <c r="W39" s="183" t="str">
        <f t="shared" si="6"/>
        <v/>
      </c>
      <c r="X39" s="183" t="str">
        <f t="shared" si="5"/>
        <v/>
      </c>
    </row>
    <row r="40" spans="2:24" ht="38" customHeight="1" x14ac:dyDescent="0.3">
      <c r="B40" s="172"/>
      <c r="C40" s="173"/>
      <c r="D40" s="173"/>
      <c r="E40" s="172"/>
      <c r="F40" s="172"/>
      <c r="G40" s="172"/>
      <c r="H40" s="174"/>
      <c r="I40" s="174"/>
      <c r="J40" s="175">
        <f>MOD(I40-H40, 1)</f>
        <v>0</v>
      </c>
      <c r="K40" s="178"/>
      <c r="L40" s="177"/>
      <c r="M40" s="178"/>
      <c r="N40" s="179"/>
      <c r="O40" s="186"/>
      <c r="P40" s="172"/>
      <c r="Q40" s="172"/>
      <c r="R40" s="172"/>
      <c r="S40" s="175">
        <f t="shared" si="7"/>
        <v>0</v>
      </c>
      <c r="U40" s="187"/>
      <c r="V40" s="183" t="str">
        <f t="shared" si="4"/>
        <v/>
      </c>
      <c r="W40" s="183" t="str">
        <f t="shared" si="6"/>
        <v/>
      </c>
      <c r="X40" s="183" t="str">
        <f t="shared" si="5"/>
        <v/>
      </c>
    </row>
    <row r="41" spans="2:24" ht="38" customHeight="1" x14ac:dyDescent="0.3">
      <c r="B41" s="172"/>
      <c r="C41" s="173"/>
      <c r="D41" s="173"/>
      <c r="E41" s="172"/>
      <c r="F41" s="172"/>
      <c r="G41" s="172"/>
      <c r="H41" s="174"/>
      <c r="I41" s="174"/>
      <c r="J41" s="175">
        <f>MOD(I41-H41, 1)</f>
        <v>0</v>
      </c>
      <c r="K41" s="178"/>
      <c r="L41" s="177"/>
      <c r="M41" s="178"/>
      <c r="N41" s="179"/>
      <c r="O41" s="186"/>
      <c r="P41" s="172"/>
      <c r="Q41" s="172"/>
      <c r="R41" s="172"/>
      <c r="S41" s="175">
        <f t="shared" si="7"/>
        <v>0</v>
      </c>
      <c r="U41" s="187"/>
      <c r="V41" s="183" t="str">
        <f t="shared" si="4"/>
        <v/>
      </c>
      <c r="W41" s="183" t="str">
        <f t="shared" si="6"/>
        <v/>
      </c>
      <c r="X41" s="183" t="str">
        <f t="shared" si="5"/>
        <v/>
      </c>
    </row>
    <row r="42" spans="2:24" ht="38" customHeight="1" x14ac:dyDescent="0.3">
      <c r="B42" s="172"/>
      <c r="C42" s="173"/>
      <c r="D42" s="173"/>
      <c r="E42" s="172"/>
      <c r="F42" s="172"/>
      <c r="G42" s="172"/>
      <c r="H42" s="174"/>
      <c r="I42" s="174" t="s">
        <v>329</v>
      </c>
      <c r="J42" s="175">
        <v>0</v>
      </c>
      <c r="K42" s="178"/>
      <c r="L42" s="177"/>
      <c r="M42" s="178"/>
      <c r="N42" s="179"/>
      <c r="O42" s="186"/>
      <c r="P42" s="172"/>
      <c r="Q42" s="172"/>
      <c r="R42" s="172"/>
      <c r="S42" s="175">
        <f t="shared" si="7"/>
        <v>0</v>
      </c>
      <c r="U42" s="182">
        <f>SUM(U34:U41)</f>
        <v>0</v>
      </c>
      <c r="V42" s="183" t="str">
        <f t="shared" si="4"/>
        <v/>
      </c>
      <c r="W42" s="183" t="str">
        <f t="shared" si="6"/>
        <v/>
      </c>
      <c r="X42" s="183" t="str">
        <f t="shared" si="5"/>
        <v/>
      </c>
    </row>
    <row r="43" spans="2:24" ht="15.65" customHeight="1" thickBot="1" x14ac:dyDescent="0.35">
      <c r="B43" s="190"/>
      <c r="C43" s="190"/>
      <c r="D43" s="190"/>
      <c r="E43" s="190"/>
      <c r="F43" s="190"/>
      <c r="G43" s="190"/>
      <c r="H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</row>
    <row r="44" spans="2:24" ht="30" customHeight="1" thickBot="1" x14ac:dyDescent="0.35">
      <c r="B44" s="191"/>
      <c r="C44" s="446" t="s">
        <v>64</v>
      </c>
      <c r="D44" s="446"/>
      <c r="E44" s="192"/>
      <c r="F44" s="192"/>
      <c r="G44" s="431">
        <v>3500</v>
      </c>
      <c r="H44" s="432"/>
      <c r="I44" s="431">
        <v>3700</v>
      </c>
      <c r="J44" s="432"/>
      <c r="K44" s="433" t="s">
        <v>146</v>
      </c>
      <c r="L44" s="434"/>
      <c r="M44" s="190"/>
      <c r="N44" s="190"/>
      <c r="O44" s="190"/>
      <c r="P44" s="190"/>
      <c r="Q44" s="190"/>
      <c r="R44" s="190"/>
      <c r="S44" s="190"/>
    </row>
    <row r="45" spans="2:24" ht="30" customHeight="1" x14ac:dyDescent="0.3">
      <c r="C45" s="194" t="s">
        <v>48</v>
      </c>
      <c r="D45" s="195">
        <f>SUMPRODUCT((LEFT(F21:F39, 1)="C") / (COUNTIF(F21:F39, F21:F39 &amp; "") + (F21:F39="")))</f>
        <v>0</v>
      </c>
      <c r="E45" s="447" t="s">
        <v>90</v>
      </c>
      <c r="F45" s="447"/>
      <c r="G45" s="196">
        <v>0.26041666666666669</v>
      </c>
      <c r="H45" s="197" t="s">
        <v>23</v>
      </c>
      <c r="I45" s="196">
        <v>0.26041666666666669</v>
      </c>
      <c r="J45" s="197" t="s">
        <v>23</v>
      </c>
      <c r="K45" s="198">
        <f>+G45</f>
        <v>0.26041666666666669</v>
      </c>
      <c r="L45" s="197" t="s">
        <v>23</v>
      </c>
      <c r="M45" s="190"/>
      <c r="N45" s="190"/>
      <c r="O45" s="190"/>
      <c r="P45" s="190"/>
      <c r="Q45" s="190"/>
      <c r="R45" s="190"/>
      <c r="S45" s="190"/>
    </row>
    <row r="46" spans="2:24" x14ac:dyDescent="0.3">
      <c r="C46" s="194" t="s">
        <v>49</v>
      </c>
      <c r="D46" s="195">
        <f>SUMPRODUCT((LEFT(F21:F39, 1)="O") / (COUNTIF(F21:F39, F21:F39 &amp; "") + (F21:F39="")))</f>
        <v>0</v>
      </c>
      <c r="E46" s="448" t="s">
        <v>198</v>
      </c>
      <c r="F46" s="448"/>
      <c r="G46" s="199">
        <f>SUM(J21:J30)</f>
        <v>1.1534722222222222</v>
      </c>
      <c r="H46" s="200">
        <f>+G46*24/($G$45*24)</f>
        <v>4.4293333333333331</v>
      </c>
      <c r="I46" s="199">
        <f>SUM(J34:J39)</f>
        <v>0.5</v>
      </c>
      <c r="J46" s="200">
        <f>+I46*24/($I$45*24)</f>
        <v>1.92</v>
      </c>
      <c r="K46" s="201">
        <f>AVERAGE(G46+I46)/2</f>
        <v>0.82673611111111112</v>
      </c>
      <c r="L46" s="200">
        <f>+K46*24/($K$45*24)</f>
        <v>3.174666666666667</v>
      </c>
      <c r="M46" s="190"/>
      <c r="N46" s="190"/>
      <c r="O46" s="190"/>
      <c r="P46" s="190"/>
      <c r="Q46" s="190"/>
      <c r="R46" s="190"/>
      <c r="S46" s="190"/>
    </row>
    <row r="47" spans="2:24" ht="43.25" customHeight="1" thickBot="1" x14ac:dyDescent="0.35">
      <c r="E47" s="448" t="s">
        <v>94</v>
      </c>
      <c r="F47" s="448"/>
      <c r="G47" s="202"/>
      <c r="H47" s="203">
        <f>+AVERAGE(N21:N31)</f>
        <v>0.75</v>
      </c>
      <c r="I47" s="202"/>
      <c r="J47" s="203">
        <f>+AVERAGE(N34:N39)</f>
        <v>1</v>
      </c>
      <c r="K47" s="204"/>
      <c r="L47" s="203">
        <f>+AVERAGE(N21:N39)</f>
        <v>0.83333333333333337</v>
      </c>
    </row>
    <row r="48" spans="2:24" ht="43.25" customHeight="1" x14ac:dyDescent="0.3">
      <c r="E48" s="205"/>
      <c r="F48" s="205"/>
      <c r="G48" s="206"/>
      <c r="H48" s="206"/>
      <c r="I48" s="137"/>
      <c r="J48" s="137"/>
      <c r="K48" s="137"/>
      <c r="L48" s="137"/>
    </row>
    <row r="49" spans="2:14" ht="43.25" customHeight="1" x14ac:dyDescent="0.3">
      <c r="E49" s="194"/>
      <c r="F49" s="194"/>
      <c r="G49" s="207"/>
      <c r="H49" s="208" t="s">
        <v>24</v>
      </c>
      <c r="I49" s="208" t="s">
        <v>199</v>
      </c>
      <c r="J49" s="208" t="s">
        <v>201</v>
      </c>
      <c r="K49" s="208" t="s">
        <v>404</v>
      </c>
      <c r="L49" s="345" t="s">
        <v>484</v>
      </c>
      <c r="M49" s="345" t="s">
        <v>485</v>
      </c>
      <c r="N49" s="208"/>
    </row>
    <row r="50" spans="2:14" ht="14.5" x14ac:dyDescent="0.35">
      <c r="E50" s="445" t="s">
        <v>174</v>
      </c>
      <c r="F50" s="445"/>
      <c r="G50" s="445"/>
      <c r="H50" s="209">
        <f>+U42</f>
        <v>0</v>
      </c>
      <c r="I50" s="298">
        <f>+H50*$J$50*$K$50</f>
        <v>0</v>
      </c>
      <c r="J50" s="298">
        <v>6.6</v>
      </c>
      <c r="K50" s="246">
        <v>3.42</v>
      </c>
      <c r="L50" s="344">
        <v>56.080975609756102</v>
      </c>
      <c r="M50" s="344">
        <f>+L50*K50*H50</f>
        <v>0</v>
      </c>
    </row>
    <row r="51" spans="2:14" ht="14.4" customHeight="1" x14ac:dyDescent="0.35">
      <c r="E51" s="445" t="s">
        <v>224</v>
      </c>
      <c r="F51" s="445"/>
      <c r="G51" s="445"/>
      <c r="H51" s="209"/>
      <c r="I51" s="298">
        <f>+J51*K51</f>
        <v>0</v>
      </c>
      <c r="J51" s="298">
        <f>1892/1000000</f>
        <v>1.892E-3</v>
      </c>
      <c r="K51" s="246">
        <f>+((15*4.4)*2.72)*0</f>
        <v>0</v>
      </c>
      <c r="L51" s="346">
        <v>1.6919982016368774E-2</v>
      </c>
      <c r="M51" s="344">
        <f>+L51*K51</f>
        <v>0</v>
      </c>
    </row>
    <row r="52" spans="2:14" ht="14.4" customHeight="1" x14ac:dyDescent="0.35">
      <c r="E52" s="445" t="s">
        <v>359</v>
      </c>
      <c r="F52" s="445"/>
      <c r="G52" s="445"/>
      <c r="H52" s="209"/>
      <c r="I52" s="298">
        <f>+J52*K52</f>
        <v>0</v>
      </c>
      <c r="J52" s="298">
        <v>0.340368</v>
      </c>
      <c r="K52" s="246">
        <v>0</v>
      </c>
      <c r="L52" s="346">
        <v>2.2358937544867188</v>
      </c>
      <c r="M52" s="344">
        <f>+L52*K52</f>
        <v>0</v>
      </c>
    </row>
    <row r="53" spans="2:14" ht="14.4" customHeight="1" x14ac:dyDescent="0.35">
      <c r="E53" s="445" t="s">
        <v>376</v>
      </c>
      <c r="F53" s="445"/>
      <c r="G53" s="445"/>
      <c r="H53" s="209">
        <v>0</v>
      </c>
      <c r="I53" s="298">
        <f>+H53*$J$53*$K$53</f>
        <v>0</v>
      </c>
      <c r="J53" s="298">
        <f>23683234/1000000</f>
        <v>23.683233999999999</v>
      </c>
      <c r="K53" s="226">
        <v>0</v>
      </c>
      <c r="L53" s="346">
        <v>254.98967741935485</v>
      </c>
      <c r="M53" s="344">
        <f>+L53*K53*H53</f>
        <v>0</v>
      </c>
    </row>
    <row r="54" spans="2:14" ht="14.4" customHeight="1" x14ac:dyDescent="0.35">
      <c r="E54" s="445" t="s">
        <v>236</v>
      </c>
      <c r="F54" s="445"/>
      <c r="G54" s="445"/>
      <c r="H54" s="209"/>
      <c r="I54" s="298">
        <f>+J54*K54</f>
        <v>0</v>
      </c>
      <c r="J54" s="298">
        <f>25508/1000000</f>
        <v>2.5507999999999999E-2</v>
      </c>
      <c r="K54" s="246">
        <f>7/(0.05)*0</f>
        <v>0</v>
      </c>
      <c r="L54" s="347" t="s">
        <v>486</v>
      </c>
      <c r="M54" s="349"/>
    </row>
    <row r="55" spans="2:14" ht="14.4" customHeight="1" x14ac:dyDescent="0.35">
      <c r="E55" s="445" t="s">
        <v>451</v>
      </c>
      <c r="F55" s="445"/>
      <c r="G55" s="445"/>
      <c r="H55" s="209">
        <v>1</v>
      </c>
      <c r="I55" s="298">
        <f>H55*J55</f>
        <v>7.9892054999999997</v>
      </c>
      <c r="J55" s="298">
        <f>15978411/2000000</f>
        <v>7.9892054999999997</v>
      </c>
      <c r="K55" s="246"/>
      <c r="L55" s="347" t="s">
        <v>486</v>
      </c>
      <c r="M55" s="344"/>
    </row>
    <row r="56" spans="2:14" ht="14.4" customHeight="1" x14ac:dyDescent="0.35">
      <c r="E56" s="445" t="s">
        <v>298</v>
      </c>
      <c r="F56" s="445"/>
      <c r="G56" s="445"/>
      <c r="H56" s="209"/>
      <c r="I56" s="210">
        <f>SUM(I50:I55)</f>
        <v>7.9892054999999997</v>
      </c>
      <c r="J56" s="214"/>
      <c r="K56" s="246"/>
      <c r="L56" s="344"/>
      <c r="M56" s="344"/>
    </row>
    <row r="57" spans="2:14" ht="14.4" customHeight="1" x14ac:dyDescent="0.35">
      <c r="E57" s="227"/>
      <c r="F57" s="227"/>
      <c r="G57" s="227"/>
      <c r="H57" s="209"/>
      <c r="I57" s="210"/>
      <c r="J57" s="214"/>
      <c r="K57" s="246"/>
      <c r="L57" s="344"/>
      <c r="M57" s="344"/>
    </row>
    <row r="58" spans="2:14" ht="14.4" customHeight="1" x14ac:dyDescent="0.35">
      <c r="E58" s="445" t="s">
        <v>175</v>
      </c>
      <c r="F58" s="445"/>
      <c r="G58" s="445"/>
      <c r="H58" s="209">
        <f>+U31</f>
        <v>4.1642897889332571E-2</v>
      </c>
      <c r="I58" s="210">
        <f>+H58*$J$58*$K$58</f>
        <v>1.6805407872219051</v>
      </c>
      <c r="J58" s="211">
        <v>11.8</v>
      </c>
      <c r="K58" s="246">
        <v>3.42</v>
      </c>
      <c r="L58" s="344">
        <v>118.52055555555555</v>
      </c>
      <c r="M58" s="344">
        <f>+L58*K58*H58</f>
        <v>16.879544723331428</v>
      </c>
    </row>
    <row r="59" spans="2:14" ht="14.4" customHeight="1" x14ac:dyDescent="0.35">
      <c r="E59" s="445" t="s">
        <v>225</v>
      </c>
      <c r="F59" s="445"/>
      <c r="G59" s="445"/>
      <c r="H59" s="209"/>
      <c r="I59" s="210">
        <f>+J59*K59</f>
        <v>0</v>
      </c>
      <c r="J59" s="296">
        <f>+J51*0</f>
        <v>0</v>
      </c>
      <c r="K59" s="215">
        <f>+((15*2.8)*2.72)*K30</f>
        <v>0</v>
      </c>
      <c r="L59" s="346">
        <v>1.6919982016368774E-2</v>
      </c>
      <c r="M59" s="344">
        <f>+L59*K59</f>
        <v>0</v>
      </c>
    </row>
    <row r="60" spans="2:14" ht="14.4" customHeight="1" x14ac:dyDescent="0.35">
      <c r="E60" s="445" t="s">
        <v>297</v>
      </c>
      <c r="F60" s="445"/>
      <c r="G60" s="445"/>
      <c r="H60" s="209"/>
      <c r="I60" s="210">
        <f>SUM(I58:I59)</f>
        <v>1.6805407872219051</v>
      </c>
      <c r="J60" s="214"/>
      <c r="K60" s="246"/>
      <c r="L60" s="347"/>
      <c r="M60" s="349"/>
    </row>
    <row r="61" spans="2:14" ht="14.4" customHeight="1" x14ac:dyDescent="0.3">
      <c r="E61" s="227"/>
      <c r="F61" s="227"/>
      <c r="G61" s="227"/>
      <c r="H61" s="209"/>
      <c r="I61" s="210"/>
      <c r="J61" s="214"/>
      <c r="K61" s="246"/>
      <c r="L61" s="213"/>
      <c r="M61" s="352">
        <f>SUM(M50:M60)</f>
        <v>16.879544723331428</v>
      </c>
    </row>
    <row r="62" spans="2:14" ht="14.4" customHeight="1" x14ac:dyDescent="0.3">
      <c r="L62" s="213"/>
    </row>
    <row r="63" spans="2:14" ht="7.75" customHeight="1" thickBot="1" x14ac:dyDescent="0.35"/>
    <row r="64" spans="2:14" ht="30" customHeight="1" thickBot="1" x14ac:dyDescent="0.35">
      <c r="B64" s="191"/>
      <c r="C64" s="446" t="s">
        <v>88</v>
      </c>
      <c r="D64" s="446"/>
      <c r="E64" s="192"/>
      <c r="F64" s="192"/>
      <c r="G64" s="192"/>
      <c r="H64" s="192"/>
      <c r="I64" s="216"/>
      <c r="J64" s="193"/>
    </row>
    <row r="65" spans="2:10" ht="38" customHeight="1" x14ac:dyDescent="0.3">
      <c r="C65" s="217" t="s">
        <v>89</v>
      </c>
      <c r="D65" s="195">
        <f>SUMPRODUCT((LEFT(G21:G39, 5)="Jumbo") / (COUNTIF(G21:G39, G21:G39 &amp; "") + (G21:G39="")))</f>
        <v>0</v>
      </c>
      <c r="E65" s="447" t="s">
        <v>90</v>
      </c>
      <c r="F65" s="447"/>
      <c r="G65" s="218">
        <v>0.20833333333333334</v>
      </c>
      <c r="I65" s="139"/>
      <c r="J65" s="190"/>
    </row>
    <row r="66" spans="2:10" ht="38" customHeight="1" x14ac:dyDescent="0.3">
      <c r="E66" s="447" t="s">
        <v>93</v>
      </c>
      <c r="F66" s="447"/>
      <c r="G66" s="195">
        <f>15000/(60)</f>
        <v>250</v>
      </c>
      <c r="H66" s="219" t="s">
        <v>143</v>
      </c>
      <c r="I66" s="139"/>
      <c r="J66" s="190"/>
    </row>
    <row r="67" spans="2:10" ht="38" customHeight="1" x14ac:dyDescent="0.3">
      <c r="E67" s="448" t="s">
        <v>91</v>
      </c>
      <c r="F67" s="448"/>
      <c r="G67" s="207" t="e">
        <f>+SUM(SUMIF($G$21:$G$39, "Jumbo*", $J$21:$J$39))/SUMPRODUCT((LEFT(G21:G39, 5)="Jumbo") / (COUNTIF(G21:G39, G21:G39 &amp; "") + (G21:G39="")))</f>
        <v>#DIV/0!</v>
      </c>
      <c r="H67" s="220" t="e">
        <f>+G67*24/($G$65*24)</f>
        <v>#DIV/0!</v>
      </c>
      <c r="I67" s="190"/>
      <c r="J67" s="190"/>
    </row>
    <row r="68" spans="2:10" ht="38" customHeight="1" x14ac:dyDescent="0.3">
      <c r="E68" s="448" t="s">
        <v>92</v>
      </c>
      <c r="F68" s="448"/>
      <c r="G68" s="221" t="e">
        <f>+SUM(V21:V39)/D65</f>
        <v>#DIV/0!</v>
      </c>
      <c r="H68" s="220" t="e">
        <f>+G68/G66</f>
        <v>#DIV/0!</v>
      </c>
      <c r="I68" s="190"/>
      <c r="J68" s="190"/>
    </row>
    <row r="69" spans="2:10" ht="38" customHeight="1" x14ac:dyDescent="0.3">
      <c r="G69" s="222" t="s">
        <v>87</v>
      </c>
      <c r="H69" s="139" t="s">
        <v>23</v>
      </c>
    </row>
    <row r="70" spans="2:10" ht="20" customHeight="1" x14ac:dyDescent="0.3">
      <c r="F70" s="208" t="s">
        <v>65</v>
      </c>
      <c r="G70" s="221">
        <f t="shared" ref="G70:G75" si="8" xml:space="preserve"> SUMIF($G$21:$G$39, +F70,$V$21:$V$39)</f>
        <v>0</v>
      </c>
      <c r="H70" s="220">
        <f t="shared" ref="H70:H75" si="9">+G70/$G$66</f>
        <v>0</v>
      </c>
    </row>
    <row r="71" spans="2:10" ht="20" customHeight="1" x14ac:dyDescent="0.3">
      <c r="F71" s="208" t="s">
        <v>66</v>
      </c>
      <c r="G71" s="221">
        <f t="shared" si="8"/>
        <v>0</v>
      </c>
      <c r="H71" s="220">
        <f t="shared" si="9"/>
        <v>0</v>
      </c>
    </row>
    <row r="72" spans="2:10" ht="20" customHeight="1" x14ac:dyDescent="0.3">
      <c r="F72" s="208" t="s">
        <v>67</v>
      </c>
      <c r="G72" s="221">
        <f t="shared" si="8"/>
        <v>0</v>
      </c>
      <c r="H72" s="220">
        <f t="shared" si="9"/>
        <v>0</v>
      </c>
    </row>
    <row r="73" spans="2:10" ht="20" customHeight="1" x14ac:dyDescent="0.3">
      <c r="F73" s="208" t="s">
        <v>68</v>
      </c>
      <c r="G73" s="221">
        <f t="shared" si="8"/>
        <v>0</v>
      </c>
      <c r="H73" s="220">
        <f t="shared" si="9"/>
        <v>0</v>
      </c>
    </row>
    <row r="74" spans="2:10" ht="20" customHeight="1" x14ac:dyDescent="0.3">
      <c r="F74" s="208" t="s">
        <v>69</v>
      </c>
      <c r="G74" s="221">
        <f t="shared" si="8"/>
        <v>0</v>
      </c>
      <c r="H74" s="220">
        <f t="shared" si="9"/>
        <v>0</v>
      </c>
    </row>
    <row r="75" spans="2:10" ht="20" customHeight="1" x14ac:dyDescent="0.3">
      <c r="F75" s="208" t="s">
        <v>70</v>
      </c>
      <c r="G75" s="221">
        <f t="shared" si="8"/>
        <v>0</v>
      </c>
      <c r="H75" s="220">
        <f t="shared" si="9"/>
        <v>0</v>
      </c>
    </row>
    <row r="76" spans="2:10" ht="20" customHeight="1" x14ac:dyDescent="0.3">
      <c r="F76" s="208" t="s">
        <v>146</v>
      </c>
      <c r="G76" s="223">
        <f>+SUM(G70:G75)</f>
        <v>0</v>
      </c>
      <c r="H76" s="220" t="e">
        <f>+G76/($G$66*$D$65)</f>
        <v>#DIV/0!</v>
      </c>
    </row>
    <row r="77" spans="2:10" ht="13.5" thickBot="1" x14ac:dyDescent="0.35"/>
    <row r="78" spans="2:10" ht="30" customHeight="1" thickBot="1" x14ac:dyDescent="0.35">
      <c r="B78" s="191"/>
      <c r="C78" s="446" t="s">
        <v>107</v>
      </c>
      <c r="D78" s="446"/>
      <c r="E78" s="192"/>
      <c r="F78" s="192"/>
      <c r="G78" s="192"/>
      <c r="H78" s="192"/>
      <c r="I78" s="216"/>
      <c r="J78" s="193"/>
    </row>
    <row r="79" spans="2:10" ht="38" customHeight="1" x14ac:dyDescent="0.3">
      <c r="C79" s="208" t="s">
        <v>95</v>
      </c>
      <c r="D79" s="195">
        <f>SUMPRODUCT((LEFT(G21:G39, 5)="Scoop") / (COUNTIF(G21:G39, G21:G39 &amp; "") + (G21:G39="")))</f>
        <v>0</v>
      </c>
      <c r="E79" s="447" t="s">
        <v>90</v>
      </c>
      <c r="F79" s="447"/>
      <c r="G79" s="218">
        <v>0.20833333333333334</v>
      </c>
      <c r="I79" s="139"/>
      <c r="J79" s="190"/>
    </row>
    <row r="80" spans="2:10" ht="38" customHeight="1" x14ac:dyDescent="0.3">
      <c r="C80" s="208" t="s">
        <v>145</v>
      </c>
      <c r="D80" s="195">
        <v>4.9000000000000004</v>
      </c>
      <c r="E80" s="447" t="s">
        <v>97</v>
      </c>
      <c r="F80" s="447"/>
      <c r="G80" s="195">
        <f>15000/(60)</f>
        <v>250</v>
      </c>
      <c r="H80" s="219" t="s">
        <v>23</v>
      </c>
      <c r="I80" s="139"/>
      <c r="J80" s="190"/>
    </row>
    <row r="81" spans="2:10" ht="38" customHeight="1" x14ac:dyDescent="0.3">
      <c r="E81" s="448" t="s">
        <v>98</v>
      </c>
      <c r="F81" s="448"/>
      <c r="G81" s="207" t="e">
        <f>+SUM(SUMIF($G$21:$G$39, "Scoop*", $J$21:$J$39))/SUMPRODUCT((LEFT(G21:G39, 5)="Scoop") / (COUNTIF(G21:G39, G21:G39 &amp; "") + (G21:G39="")))</f>
        <v>#DIV/0!</v>
      </c>
      <c r="H81" s="220" t="e">
        <f>+G81*24/($G$79*24)</f>
        <v>#DIV/0!</v>
      </c>
      <c r="I81" s="190"/>
      <c r="J81" s="190"/>
    </row>
    <row r="82" spans="2:10" ht="38" customHeight="1" x14ac:dyDescent="0.3">
      <c r="E82" s="448" t="s">
        <v>99</v>
      </c>
      <c r="F82" s="448"/>
      <c r="G82" s="221" t="e">
        <f>+SUM(W21:W39)*D80/D79</f>
        <v>#DIV/0!</v>
      </c>
      <c r="H82" s="220" t="e">
        <f>+G82/G80</f>
        <v>#DIV/0!</v>
      </c>
      <c r="I82" s="190"/>
      <c r="J82" s="190"/>
    </row>
    <row r="83" spans="2:10" ht="38" customHeight="1" x14ac:dyDescent="0.3">
      <c r="G83" s="222" t="s">
        <v>96</v>
      </c>
      <c r="H83" s="139" t="s">
        <v>23</v>
      </c>
    </row>
    <row r="84" spans="2:10" ht="20" customHeight="1" x14ac:dyDescent="0.3">
      <c r="F84" s="208" t="s">
        <v>71</v>
      </c>
      <c r="G84" s="221">
        <f t="shared" ref="G84:G89" si="10" xml:space="preserve"> SUMIF($G$21:$G$39, +F84,$W$21:$W$39)*$D$80</f>
        <v>0</v>
      </c>
      <c r="H84" s="220">
        <f>+G84/$G$80</f>
        <v>0</v>
      </c>
    </row>
    <row r="85" spans="2:10" ht="20" customHeight="1" x14ac:dyDescent="0.3">
      <c r="F85" s="208" t="s">
        <v>72</v>
      </c>
      <c r="G85" s="221">
        <f t="shared" si="10"/>
        <v>0</v>
      </c>
      <c r="H85" s="220">
        <f t="shared" ref="H85:H90" si="11">+G85/$G$80</f>
        <v>0</v>
      </c>
    </row>
    <row r="86" spans="2:10" ht="20" customHeight="1" x14ac:dyDescent="0.3">
      <c r="F86" s="208" t="s">
        <v>73</v>
      </c>
      <c r="G86" s="221">
        <f t="shared" si="10"/>
        <v>0</v>
      </c>
      <c r="H86" s="220">
        <f t="shared" si="11"/>
        <v>0</v>
      </c>
    </row>
    <row r="87" spans="2:10" ht="20" customHeight="1" x14ac:dyDescent="0.3">
      <c r="F87" s="208" t="s">
        <v>74</v>
      </c>
      <c r="G87" s="221">
        <f t="shared" si="10"/>
        <v>0</v>
      </c>
      <c r="H87" s="220">
        <f t="shared" si="11"/>
        <v>0</v>
      </c>
    </row>
    <row r="88" spans="2:10" ht="20" customHeight="1" x14ac:dyDescent="0.3">
      <c r="F88" s="208" t="s">
        <v>75</v>
      </c>
      <c r="G88" s="221">
        <f t="shared" si="10"/>
        <v>0</v>
      </c>
      <c r="H88" s="220">
        <f t="shared" si="11"/>
        <v>0</v>
      </c>
    </row>
    <row r="89" spans="2:10" ht="20" customHeight="1" x14ac:dyDescent="0.3">
      <c r="F89" s="208" t="s">
        <v>76</v>
      </c>
      <c r="G89" s="221">
        <f t="shared" si="10"/>
        <v>0</v>
      </c>
      <c r="H89" s="220">
        <f t="shared" si="11"/>
        <v>0</v>
      </c>
    </row>
    <row r="90" spans="2:10" ht="20" customHeight="1" x14ac:dyDescent="0.3">
      <c r="F90" s="208" t="s">
        <v>146</v>
      </c>
      <c r="G90" s="223">
        <f>+SUM(G84:G89)</f>
        <v>0</v>
      </c>
      <c r="H90" s="220">
        <f t="shared" si="11"/>
        <v>0</v>
      </c>
    </row>
    <row r="91" spans="2:10" ht="13.5" thickBot="1" x14ac:dyDescent="0.35"/>
    <row r="92" spans="2:10" ht="30" customHeight="1" thickBot="1" x14ac:dyDescent="0.35">
      <c r="B92" s="191"/>
      <c r="C92" s="446" t="s">
        <v>149</v>
      </c>
      <c r="D92" s="446"/>
      <c r="E92" s="192"/>
      <c r="F92" s="192"/>
      <c r="G92" s="192"/>
      <c r="H92" s="192"/>
      <c r="I92" s="216"/>
      <c r="J92" s="193"/>
    </row>
    <row r="93" spans="2:10" ht="25.25" customHeight="1" x14ac:dyDescent="0.3">
      <c r="C93" s="208" t="s">
        <v>150</v>
      </c>
      <c r="D93" s="195">
        <f>SUMPRODUCT((LEFT(G21:G39, 8)="Roboshot") / (COUNTIF(G21:G39, G21:G39 &amp; "") + (G21:G39="")))</f>
        <v>0</v>
      </c>
      <c r="E93" s="447" t="s">
        <v>90</v>
      </c>
      <c r="F93" s="447"/>
      <c r="G93" s="218">
        <v>0.20833333333333334</v>
      </c>
    </row>
    <row r="94" spans="2:10" x14ac:dyDescent="0.3">
      <c r="C94" s="208"/>
      <c r="D94" s="195"/>
      <c r="E94" s="447" t="s">
        <v>97</v>
      </c>
      <c r="F94" s="447"/>
      <c r="G94" s="195">
        <v>12</v>
      </c>
      <c r="H94" s="219" t="s">
        <v>23</v>
      </c>
    </row>
    <row r="96" spans="2:10" x14ac:dyDescent="0.3">
      <c r="G96" s="222" t="s">
        <v>96</v>
      </c>
      <c r="H96" s="139" t="s">
        <v>23</v>
      </c>
    </row>
    <row r="97" spans="6:8" x14ac:dyDescent="0.3">
      <c r="F97" s="208" t="s">
        <v>77</v>
      </c>
      <c r="G97" s="221">
        <f xml:space="preserve"> SUMIF($G$21:$G$39, +F97,$X$21:$X$39)</f>
        <v>0</v>
      </c>
      <c r="H97" s="220">
        <f>+G97/$G$94</f>
        <v>0</v>
      </c>
    </row>
    <row r="98" spans="6:8" x14ac:dyDescent="0.3">
      <c r="F98" s="208" t="s">
        <v>78</v>
      </c>
      <c r="G98" s="221">
        <f xml:space="preserve"> SUMIF($G$21:$G$39, +F98,$X$21:$X$39)</f>
        <v>0</v>
      </c>
      <c r="H98" s="220">
        <f t="shared" ref="H98:H99" si="12">+G98/$G$94</f>
        <v>0</v>
      </c>
    </row>
    <row r="99" spans="6:8" x14ac:dyDescent="0.3">
      <c r="F99" s="208" t="s">
        <v>79</v>
      </c>
      <c r="G99" s="221">
        <f xml:space="preserve"> SUMIF($G$21:$G$39, +F99,$X$21:$X$39)</f>
        <v>0</v>
      </c>
      <c r="H99" s="220">
        <f t="shared" si="12"/>
        <v>0</v>
      </c>
    </row>
    <row r="100" spans="6:8" x14ac:dyDescent="0.3">
      <c r="F100" s="208" t="s">
        <v>146</v>
      </c>
      <c r="G100" s="223">
        <f>+SUM(G97:G99)</f>
        <v>0</v>
      </c>
      <c r="H100" s="220">
        <f>+G100/$G$94</f>
        <v>0</v>
      </c>
    </row>
  </sheetData>
  <mergeCells count="41">
    <mergeCell ref="K8:L8"/>
    <mergeCell ref="B1:D4"/>
    <mergeCell ref="E2:R2"/>
    <mergeCell ref="E3:R4"/>
    <mergeCell ref="K6:L6"/>
    <mergeCell ref="K7:L7"/>
    <mergeCell ref="E52:G52"/>
    <mergeCell ref="K9:L9"/>
    <mergeCell ref="K10:L10"/>
    <mergeCell ref="K11:L11"/>
    <mergeCell ref="K12:L12"/>
    <mergeCell ref="B14:S14"/>
    <mergeCell ref="C44:D44"/>
    <mergeCell ref="G44:H44"/>
    <mergeCell ref="I44:J44"/>
    <mergeCell ref="K44:L44"/>
    <mergeCell ref="E45:F45"/>
    <mergeCell ref="E46:F46"/>
    <mergeCell ref="E47:F47"/>
    <mergeCell ref="E50:G50"/>
    <mergeCell ref="E51:G51"/>
    <mergeCell ref="E53:G53"/>
    <mergeCell ref="E54:G54"/>
    <mergeCell ref="E56:G56"/>
    <mergeCell ref="E58:G58"/>
    <mergeCell ref="E59:G59"/>
    <mergeCell ref="C92:D92"/>
    <mergeCell ref="E93:F93"/>
    <mergeCell ref="C64:D64"/>
    <mergeCell ref="E65:F65"/>
    <mergeCell ref="E66:F66"/>
    <mergeCell ref="E67:F67"/>
    <mergeCell ref="E68:F68"/>
    <mergeCell ref="C78:D78"/>
    <mergeCell ref="E94:F94"/>
    <mergeCell ref="E55:G55"/>
    <mergeCell ref="E79:F79"/>
    <mergeCell ref="E80:F80"/>
    <mergeCell ref="E81:F81"/>
    <mergeCell ref="E82:F82"/>
    <mergeCell ref="E60:G60"/>
  </mergeCells>
  <conditionalFormatting sqref="H46:H47 J46:J47">
    <cfRule type="cellIs" dxfId="545" priority="13" operator="greaterThan">
      <formula>0.9</formula>
    </cfRule>
    <cfRule type="cellIs" dxfId="544" priority="14" operator="between">
      <formula>0.81</formula>
      <formula>0.89</formula>
    </cfRule>
    <cfRule type="cellIs" dxfId="543" priority="15" operator="lessThan">
      <formula>0.8</formula>
    </cfRule>
  </conditionalFormatting>
  <conditionalFormatting sqref="H67:H68">
    <cfRule type="cellIs" dxfId="542" priority="16" operator="greaterThan">
      <formula>0.9</formula>
    </cfRule>
    <cfRule type="cellIs" dxfId="541" priority="17" operator="between">
      <formula>0.81</formula>
      <formula>0.89</formula>
    </cfRule>
    <cfRule type="cellIs" dxfId="540" priority="18" operator="lessThan">
      <formula>0.8</formula>
    </cfRule>
  </conditionalFormatting>
  <conditionalFormatting sqref="H70:H76">
    <cfRule type="cellIs" dxfId="539" priority="19" operator="greaterThan">
      <formula>0.9</formula>
    </cfRule>
    <cfRule type="cellIs" dxfId="538" priority="20" operator="between">
      <formula>0.81</formula>
      <formula>0.89</formula>
    </cfRule>
    <cfRule type="cellIs" dxfId="537" priority="21" operator="lessThan">
      <formula>0.8</formula>
    </cfRule>
  </conditionalFormatting>
  <conditionalFormatting sqref="H81:H82">
    <cfRule type="cellIs" dxfId="536" priority="7" operator="greaterThan">
      <formula>0.9</formula>
    </cfRule>
    <cfRule type="cellIs" dxfId="535" priority="8" operator="between">
      <formula>0.81</formula>
      <formula>0.89</formula>
    </cfRule>
    <cfRule type="cellIs" dxfId="534" priority="9" operator="lessThan">
      <formula>0.8</formula>
    </cfRule>
  </conditionalFormatting>
  <conditionalFormatting sqref="H84:H90">
    <cfRule type="cellIs" dxfId="533" priority="10" operator="greaterThan">
      <formula>0.9</formula>
    </cfRule>
    <cfRule type="cellIs" dxfId="532" priority="11" operator="between">
      <formula>0.81</formula>
      <formula>0.89</formula>
    </cfRule>
    <cfRule type="cellIs" dxfId="531" priority="12" operator="lessThan">
      <formula>0.8</formula>
    </cfRule>
  </conditionalFormatting>
  <conditionalFormatting sqref="H97:H100">
    <cfRule type="cellIs" dxfId="530" priority="4" operator="greaterThan">
      <formula>0.9</formula>
    </cfRule>
    <cfRule type="cellIs" dxfId="529" priority="5" operator="between">
      <formula>0.81</formula>
      <formula>0.89</formula>
    </cfRule>
    <cfRule type="cellIs" dxfId="528" priority="6" operator="lessThan">
      <formula>0.8</formula>
    </cfRule>
  </conditionalFormatting>
  <conditionalFormatting sqref="L46:L47">
    <cfRule type="cellIs" dxfId="527" priority="1" operator="greaterThan">
      <formula>0.9</formula>
    </cfRule>
    <cfRule type="cellIs" dxfId="526" priority="2" operator="between">
      <formula>0.81</formula>
      <formula>0.89</formula>
    </cfRule>
    <cfRule type="cellIs" dxfId="525" priority="3" operator="lessThan">
      <formula>0.8</formula>
    </cfRule>
  </conditionalFormatting>
  <pageMargins left="0.25" right="0.25" top="0.75" bottom="0.75" header="0.3" footer="0.3"/>
  <pageSetup scale="3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4FBA79C-F2A9-4602-AAD6-DADC0A26232F}">
          <x14:formula1>
            <xm:f>Datos!$F$3:$F$41</xm:f>
          </x14:formula1>
          <xm:sqref>G34:G42 G21:G31</xm:sqref>
        </x14:dataValidation>
        <x14:dataValidation type="list" allowBlank="1" showInputMessage="1" showErrorMessage="1" xr:uid="{07EC55A2-2E6F-4D0C-87C5-B6F13AB5802D}">
          <x14:formula1>
            <xm:f>Datos!$W$3:$W$12</xm:f>
          </x14:formula1>
          <xm:sqref>L34:L42 L21:L31</xm:sqref>
        </x14:dataValidation>
        <x14:dataValidation type="list" allowBlank="1" showInputMessage="1" showErrorMessage="1" xr:uid="{9FD41EE7-BEEE-4E72-9E88-49AE61DFA800}">
          <x14:formula1>
            <xm:f>Datos!$D$3:$D$27</xm:f>
          </x14:formula1>
          <xm:sqref>F34:F42 F21:F31</xm:sqref>
        </x14:dataValidation>
        <x14:dataValidation type="list" allowBlank="1" showInputMessage="1" showErrorMessage="1" xr:uid="{D818D564-368C-42D2-8034-5C3ECE227E6B}">
          <x14:formula1>
            <xm:f>Datos!$B$3:$B$8</xm:f>
          </x14:formula1>
          <xm:sqref>E34:E42 E21:E31</xm:sqref>
        </x14:dataValidation>
        <x14:dataValidation type="list" allowBlank="1" showInputMessage="1" showErrorMessage="1" xr:uid="{FD7EECC2-0400-4FCB-A261-06BF26D7703D}">
          <x14:formula1>
            <xm:f>Datos!$H$3:$H$34</xm:f>
          </x14:formula1>
          <xm:sqref>D34:D41 D21:D30</xm:sqref>
        </x14:dataValidation>
        <x14:dataValidation type="list" allowBlank="1" showInputMessage="1" showErrorMessage="1" xr:uid="{4043E3CB-4823-4011-AB8C-562AE72D2A7B}">
          <x14:formula1>
            <xm:f>Datos!$H$3:$H$26</xm:f>
          </x14:formula1>
          <xm:sqref>D31 D42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88E3-DD56-415C-94A5-0D676116B943}">
  <sheetPr>
    <pageSetUpPr fitToPage="1"/>
  </sheetPr>
  <dimension ref="B1:X99"/>
  <sheetViews>
    <sheetView showGridLines="0" topLeftCell="A19" zoomScale="70" zoomScaleNormal="70" zoomScaleSheetLayoutView="50" workbookViewId="0">
      <pane xSplit="3" ySplit="2" topLeftCell="D24" activePane="bottomRight" state="frozen"/>
      <selection activeCell="K27" sqref="K27"/>
      <selection pane="topRight" activeCell="K27" sqref="K27"/>
      <selection pane="bottomLeft" activeCell="K27" sqref="K27"/>
      <selection pane="bottomRight" activeCell="J33" sqref="J33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+G45</f>
        <v>0.80624999999999991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+H46</f>
        <v>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+G75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+G89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+G99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104</v>
      </c>
      <c r="E21" s="172"/>
      <c r="F21" s="172"/>
      <c r="G21" s="172" t="s">
        <v>204</v>
      </c>
      <c r="H21" s="174">
        <v>0.91666666666666663</v>
      </c>
      <c r="I21" s="174">
        <v>1.0909722222222222</v>
      </c>
      <c r="J21" s="175">
        <f t="shared" ref="J21:J26" si="0">I21-H21</f>
        <v>0.1743055555555556</v>
      </c>
      <c r="K21" s="178">
        <v>68</v>
      </c>
      <c r="L21" s="177" t="s">
        <v>128</v>
      </c>
      <c r="M21" s="178"/>
      <c r="N21" s="179">
        <v>1</v>
      </c>
      <c r="O21" s="186"/>
      <c r="P21" s="181" t="s">
        <v>446</v>
      </c>
      <c r="Q21" s="174">
        <v>0.94097222222222221</v>
      </c>
      <c r="R21" s="174">
        <v>0.97222222222222221</v>
      </c>
      <c r="S21" s="175">
        <f>+MOD(R21-Q21,1)</f>
        <v>3.125E-2</v>
      </c>
      <c r="U21" s="182">
        <f>+IFERROR(VLOOKUP(D21,Datos!$R$3:$T$19,3,FALSE), "0")*N21</f>
        <v>0.22475755847119222</v>
      </c>
      <c r="V21" s="183" t="str">
        <f>IF(OR(D21="Perforación de Fortificación", D21="Perforación de Avance", D21="Perforación Desquinche"), K21*M21, "")</f>
        <v/>
      </c>
      <c r="W21" s="183">
        <f>IF(D21="Extracción de Marina Disparo",K21,"")</f>
        <v>68</v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51</v>
      </c>
      <c r="E22" s="172"/>
      <c r="F22" s="172"/>
      <c r="G22" s="172"/>
      <c r="H22" s="174">
        <v>0.125</v>
      </c>
      <c r="I22" s="174">
        <v>0.25694444444444442</v>
      </c>
      <c r="J22" s="175">
        <f t="shared" si="0"/>
        <v>0.13194444444444442</v>
      </c>
      <c r="K22" s="178"/>
      <c r="L22" s="177"/>
      <c r="M22" s="178"/>
      <c r="N22" s="179">
        <v>1</v>
      </c>
      <c r="O22" s="225" t="s">
        <v>429</v>
      </c>
      <c r="P22" s="181"/>
      <c r="Q22" s="174"/>
      <c r="R22" s="172"/>
      <c r="S22" s="175">
        <f t="shared" ref="S22:S30" si="1">+MOD(R22-Q22,1)</f>
        <v>0</v>
      </c>
      <c r="U22" s="182">
        <f>+IFERROR(VLOOKUP(D22,Datos!$R$3:$T$19,3,FALSE), "0")*N22</f>
        <v>3.4227039361095259E-2</v>
      </c>
      <c r="V22" s="183" t="str">
        <f t="shared" ref="V22:V30" si="2">IF(OR(D22="Perforación de Fortificación", D22="Perforación de Avance", D22="Perforación Desquinche"), K22*M22, "")</f>
        <v/>
      </c>
      <c r="W22" s="183" t="str">
        <f t="shared" ref="W22:W30" si="3">IF(D22="Extracción de Marina Disparo",K22,"")</f>
        <v/>
      </c>
      <c r="X22" s="183" t="str">
        <f t="shared" ref="X22:X30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/>
      <c r="E23" s="172"/>
      <c r="F23" s="172"/>
      <c r="G23" s="172"/>
      <c r="H23" s="174"/>
      <c r="I23" s="174"/>
      <c r="J23" s="175">
        <f t="shared" si="0"/>
        <v>0</v>
      </c>
      <c r="K23" s="178"/>
      <c r="L23" s="177"/>
      <c r="M23" s="178"/>
      <c r="N23" s="179"/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/>
      <c r="E24" s="172"/>
      <c r="F24" s="172"/>
      <c r="G24" s="172"/>
      <c r="H24" s="174"/>
      <c r="I24" s="174"/>
      <c r="J24" s="175">
        <f t="shared" si="0"/>
        <v>0</v>
      </c>
      <c r="K24" s="178"/>
      <c r="L24" s="177"/>
      <c r="M24" s="178"/>
      <c r="N24" s="179"/>
      <c r="O24" s="186"/>
      <c r="P24" s="181"/>
      <c r="Q24" s="174"/>
      <c r="R24" s="174"/>
      <c r="S24" s="175"/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/>
      <c r="E25" s="172"/>
      <c r="F25" s="172"/>
      <c r="G25" s="172"/>
      <c r="H25" s="174"/>
      <c r="I25" s="174"/>
      <c r="J25" s="175">
        <f t="shared" si="0"/>
        <v>0</v>
      </c>
      <c r="K25" s="178"/>
      <c r="L25" s="177"/>
      <c r="M25" s="178"/>
      <c r="N25" s="179"/>
      <c r="O25" s="225"/>
      <c r="P25" s="181"/>
      <c r="Q25" s="174"/>
      <c r="R25" s="174"/>
      <c r="S25" s="175">
        <f>R25-Q25</f>
        <v>0</v>
      </c>
      <c r="U25" s="182">
        <f>+IFERROR(VLOOKUP(D25,Datos!$R$3:$T$19,3,FALSE), "0")*N25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>
        <v>3500</v>
      </c>
      <c r="C26" s="173" t="str">
        <f>+Datos!$R$2</f>
        <v>Ciclo Minero 10,0 x 7,2 m
Galería Inyección Principal</v>
      </c>
      <c r="D26" s="173"/>
      <c r="E26" s="172"/>
      <c r="F26" s="172"/>
      <c r="G26" s="172"/>
      <c r="H26" s="174"/>
      <c r="I26" s="174"/>
      <c r="J26" s="175">
        <f t="shared" si="0"/>
        <v>0</v>
      </c>
      <c r="K26" s="178"/>
      <c r="L26" s="177"/>
      <c r="M26" s="178"/>
      <c r="N26" s="179"/>
      <c r="O26" s="186"/>
      <c r="P26" s="181"/>
      <c r="Q26" s="174"/>
      <c r="R26" s="174"/>
      <c r="S26" s="175">
        <f>R26-Q26</f>
        <v>0</v>
      </c>
      <c r="U26" s="182">
        <f>+IFERROR(VLOOKUP(D26,Datos!$R$3:$T$19,3,FALSE), "0")*N26</f>
        <v>0</v>
      </c>
      <c r="V26" s="183"/>
      <c r="W26" s="183"/>
      <c r="X26" s="183"/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/>
      <c r="J27" s="175"/>
      <c r="K27" s="178"/>
      <c r="L27" s="177"/>
      <c r="M27" s="178"/>
      <c r="N27" s="179"/>
      <c r="O27" s="186"/>
      <c r="P27" s="181"/>
      <c r="Q27" s="174"/>
      <c r="R27" s="174"/>
      <c r="S27" s="175"/>
      <c r="U27" s="182">
        <f>+IFERROR(VLOOKUP(D27,Datos!$R$3:$T$19,3,FALSE), "0")*N27</f>
        <v>0</v>
      </c>
      <c r="V27" s="183"/>
      <c r="W27" s="183"/>
      <c r="X27" s="183"/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/>
      <c r="J28" s="175"/>
      <c r="K28" s="178"/>
      <c r="L28" s="177"/>
      <c r="M28" s="178"/>
      <c r="N28" s="179"/>
      <c r="O28" s="186"/>
      <c r="P28" s="181"/>
      <c r="Q28" s="174"/>
      <c r="R28" s="174"/>
      <c r="S28" s="175"/>
      <c r="U28" s="182">
        <f>+IFERROR(VLOOKUP(D28,Datos!$R$3:$T$19,3,FALSE), "0")*N28</f>
        <v>0</v>
      </c>
      <c r="V28" s="183"/>
      <c r="W28" s="183"/>
      <c r="X28" s="183"/>
    </row>
    <row r="29" spans="2:24" ht="37.75" customHeight="1" x14ac:dyDescent="0.3">
      <c r="B29" s="172"/>
      <c r="C29" s="173"/>
      <c r="D29" s="173" t="s">
        <v>110</v>
      </c>
      <c r="E29" s="172"/>
      <c r="F29" s="172"/>
      <c r="G29" s="172"/>
      <c r="H29" s="174">
        <v>0.83333333333333337</v>
      </c>
      <c r="I29" s="174">
        <v>1.3333333333333333</v>
      </c>
      <c r="J29" s="175">
        <f>I29-H29</f>
        <v>0.49999999999999989</v>
      </c>
      <c r="K29" s="178"/>
      <c r="L29" s="177"/>
      <c r="M29" s="178"/>
      <c r="N29" s="179"/>
      <c r="O29" s="186" t="s">
        <v>436</v>
      </c>
      <c r="P29" s="181"/>
      <c r="Q29" s="174"/>
      <c r="R29" s="174"/>
      <c r="S29" s="175"/>
      <c r="U29" s="182">
        <f>+IFERROR(VLOOKUP(D29,Datos!$R$3:$T$19,3,FALSE), "0")*N29</f>
        <v>0</v>
      </c>
      <c r="V29" s="183" t="str">
        <f t="shared" si="2"/>
        <v/>
      </c>
      <c r="W29" s="183" t="str">
        <f t="shared" si="3"/>
        <v/>
      </c>
      <c r="X29" s="183" t="str">
        <f t="shared" si="4"/>
        <v/>
      </c>
    </row>
    <row r="30" spans="2:24" ht="38" customHeight="1" x14ac:dyDescent="0.3">
      <c r="B30" s="172"/>
      <c r="C30" s="173"/>
      <c r="D30" s="173"/>
      <c r="E30" s="172"/>
      <c r="F30" s="172"/>
      <c r="G30" s="172"/>
      <c r="H30" s="174"/>
      <c r="I30" s="174" t="s">
        <v>329</v>
      </c>
      <c r="J30" s="175">
        <f>MOD(I22-H21, 1)</f>
        <v>0.34027777777777779</v>
      </c>
      <c r="K30" s="178"/>
      <c r="L30" s="177"/>
      <c r="M30" s="178"/>
      <c r="N30" s="179"/>
      <c r="O30" s="186"/>
      <c r="P30" s="172"/>
      <c r="Q30" s="172"/>
      <c r="R30" s="172"/>
      <c r="S30" s="175">
        <f t="shared" si="1"/>
        <v>0</v>
      </c>
      <c r="U30" s="182">
        <f>SUM(U21:U29)</f>
        <v>0.2589845978322875</v>
      </c>
      <c r="V30" s="183" t="str">
        <f t="shared" si="2"/>
        <v/>
      </c>
      <c r="W30" s="183" t="str">
        <f t="shared" si="3"/>
        <v/>
      </c>
      <c r="X30" s="183" t="str">
        <f t="shared" si="4"/>
        <v/>
      </c>
    </row>
    <row r="31" spans="2:24" x14ac:dyDescent="0.3">
      <c r="B31" s="185" t="s">
        <v>158</v>
      </c>
      <c r="C31" s="63" t="s">
        <v>194</v>
      </c>
      <c r="D31" s="63"/>
      <c r="E31" s="63"/>
      <c r="F31" s="63"/>
      <c r="G31" s="63"/>
      <c r="H31" s="63"/>
      <c r="I31" s="63"/>
      <c r="J31" s="64"/>
      <c r="K31" s="64"/>
      <c r="L31" s="171"/>
      <c r="M31" s="63"/>
      <c r="N31" s="64"/>
      <c r="O31" s="64"/>
      <c r="P31" s="63"/>
      <c r="Q31" s="63"/>
      <c r="R31" s="63"/>
      <c r="S31" s="64"/>
      <c r="U31" s="63"/>
      <c r="V31" s="64"/>
      <c r="W31" s="64"/>
      <c r="X31" s="64"/>
    </row>
    <row r="32" spans="2:24" ht="52" x14ac:dyDescent="0.3">
      <c r="B32" s="63" t="s">
        <v>3</v>
      </c>
      <c r="C32" s="63" t="s">
        <v>2</v>
      </c>
      <c r="D32" s="63" t="s">
        <v>5</v>
      </c>
      <c r="E32" s="63" t="s">
        <v>22</v>
      </c>
      <c r="F32" s="63" t="s">
        <v>139</v>
      </c>
      <c r="G32" s="63" t="s">
        <v>29</v>
      </c>
      <c r="H32" s="63" t="s">
        <v>121</v>
      </c>
      <c r="I32" s="63" t="s">
        <v>4</v>
      </c>
      <c r="J32" s="64" t="s">
        <v>122</v>
      </c>
      <c r="K32" s="64" t="s">
        <v>131</v>
      </c>
      <c r="L32" s="171" t="s">
        <v>123</v>
      </c>
      <c r="M32" s="63" t="s">
        <v>134</v>
      </c>
      <c r="N32" s="64" t="s">
        <v>24</v>
      </c>
      <c r="O32" s="64" t="s">
        <v>130</v>
      </c>
      <c r="P32" s="63" t="s">
        <v>132</v>
      </c>
      <c r="Q32" s="63" t="s">
        <v>121</v>
      </c>
      <c r="R32" s="63" t="s">
        <v>4</v>
      </c>
      <c r="S32" s="64" t="s">
        <v>137</v>
      </c>
      <c r="U32" s="63" t="s">
        <v>109</v>
      </c>
      <c r="V32" s="64" t="s">
        <v>87</v>
      </c>
      <c r="W32" s="64" t="s">
        <v>128</v>
      </c>
      <c r="X32" s="64" t="s">
        <v>128</v>
      </c>
    </row>
    <row r="33" spans="2:24" ht="38" customHeight="1" x14ac:dyDescent="0.3">
      <c r="B33" s="172">
        <v>3700</v>
      </c>
      <c r="C33" s="173" t="str">
        <f>+Datos!$R$23</f>
        <v>Ciclo Minero 5,2 x 5,6 m
Galería Acceso Portal de Servicio</v>
      </c>
      <c r="D33" s="173" t="s">
        <v>110</v>
      </c>
      <c r="E33" s="172"/>
      <c r="F33" s="172"/>
      <c r="G33" s="172"/>
      <c r="H33" s="174">
        <v>0.83333333333333337</v>
      </c>
      <c r="I33" s="174">
        <v>1.3333333333333333</v>
      </c>
      <c r="J33" s="175">
        <f>I33-H33</f>
        <v>0.49999999999999989</v>
      </c>
      <c r="K33" s="178"/>
      <c r="L33" s="177"/>
      <c r="M33" s="178"/>
      <c r="N33" s="179">
        <v>1</v>
      </c>
      <c r="O33" s="186" t="s">
        <v>428</v>
      </c>
      <c r="P33" s="225"/>
      <c r="Q33" s="174"/>
      <c r="R33" s="174"/>
      <c r="S33" s="175"/>
      <c r="U33" s="187">
        <f>+IFERROR(VLOOKUP(D33,Datos!$R$24:$T$40,3,FALSE), "0")*N33</f>
        <v>0</v>
      </c>
      <c r="V33" s="183" t="str">
        <f t="shared" ref="V33:V41" si="5">IF(OR(D33="Perforación de Fortificación", D33="Perforación de Avance", D33="Perforación Desquinche"), K33*M33, "")</f>
        <v/>
      </c>
      <c r="W33" s="183" t="str">
        <f>IF(D33="Extracción de Marina Disparo",K33,"")</f>
        <v/>
      </c>
      <c r="X33" s="183" t="str">
        <f t="shared" ref="X33:X41" si="6">IF(OR(D33="Shotcrete", D33="Pre Shotcrete"), K33, "")</f>
        <v/>
      </c>
    </row>
    <row r="34" spans="2:24" ht="38" customHeight="1" x14ac:dyDescent="0.3">
      <c r="B34" s="172">
        <v>3700</v>
      </c>
      <c r="C34" s="173" t="str">
        <f>+Datos!$R$23</f>
        <v>Ciclo Minero 5,2 x 5,6 m
Galería Acceso Portal de Servicio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225"/>
      <c r="P34" s="173"/>
      <c r="Q34" s="174"/>
      <c r="R34" s="174"/>
      <c r="S34" s="175"/>
      <c r="U34" s="187">
        <f>+IFERROR(VLOOKUP(D34,Datos!$R$24:$T$40,3,FALSE), "0")*N34</f>
        <v>0</v>
      </c>
      <c r="V34" s="183" t="str">
        <f t="shared" si="5"/>
        <v/>
      </c>
      <c r="W34" s="183" t="str">
        <f>IF(D34="Extracción de Marina Disparo",K34,"")</f>
        <v/>
      </c>
      <c r="X34" s="183" t="str">
        <f t="shared" si="6"/>
        <v/>
      </c>
    </row>
    <row r="35" spans="2:24" ht="53.4" customHeight="1" x14ac:dyDescent="0.3">
      <c r="B35" s="172">
        <v>3700</v>
      </c>
      <c r="C35" s="173" t="str">
        <f>+C33</f>
        <v>Ciclo Minero 5,2 x 5,6 m
Galería Acceso Portal de Servicio</v>
      </c>
      <c r="D35" s="173"/>
      <c r="E35" s="172"/>
      <c r="F35" s="172"/>
      <c r="G35" s="172"/>
      <c r="H35" s="174"/>
      <c r="I35" s="174"/>
      <c r="J35" s="175"/>
      <c r="K35" s="178"/>
      <c r="L35" s="177"/>
      <c r="M35" s="178"/>
      <c r="N35" s="179"/>
      <c r="O35" s="225"/>
      <c r="P35" s="181"/>
      <c r="Q35" s="174"/>
      <c r="R35" s="174"/>
      <c r="S35" s="175"/>
      <c r="U35" s="187">
        <f>+IFERROR(VLOOKUP(D35,Datos!$R$24:$T$40,3,FALSE), "0")*N35</f>
        <v>0</v>
      </c>
      <c r="V35" s="183" t="str">
        <f t="shared" si="5"/>
        <v/>
      </c>
      <c r="W35" s="183" t="str">
        <f t="shared" ref="W35:W41" si="7">IF(D35="Extracción de Marina Disparo",K35,"")</f>
        <v/>
      </c>
      <c r="X35" s="183" t="str">
        <f t="shared" si="6"/>
        <v/>
      </c>
    </row>
    <row r="36" spans="2:24" ht="38" customHeight="1" x14ac:dyDescent="0.3">
      <c r="B36" s="172">
        <v>3700</v>
      </c>
      <c r="C36" s="173" t="s">
        <v>397</v>
      </c>
      <c r="D36" s="173"/>
      <c r="E36" s="172"/>
      <c r="F36" s="172"/>
      <c r="G36" s="172"/>
      <c r="H36" s="174"/>
      <c r="I36" s="174"/>
      <c r="J36" s="175"/>
      <c r="K36" s="178"/>
      <c r="L36" s="177"/>
      <c r="M36" s="178"/>
      <c r="N36" s="179"/>
      <c r="O36" s="186"/>
      <c r="P36" s="172"/>
      <c r="Q36" s="172"/>
      <c r="R36" s="172"/>
      <c r="S36" s="175"/>
      <c r="U36" s="187">
        <f>+IFERROR(VLOOKUP(D36,Datos!$R$24:$T$40,3,FALSE), "0")*N36</f>
        <v>0</v>
      </c>
      <c r="V36" s="183" t="str">
        <f t="shared" si="5"/>
        <v/>
      </c>
      <c r="W36" s="183" t="str">
        <f t="shared" si="7"/>
        <v/>
      </c>
      <c r="X36" s="183"/>
    </row>
    <row r="37" spans="2:24" ht="38" customHeight="1" x14ac:dyDescent="0.3">
      <c r="B37" s="172">
        <v>3700</v>
      </c>
      <c r="C37" s="173" t="str">
        <f>+C36</f>
        <v>Fróntón Bodega</v>
      </c>
      <c r="D37" s="173"/>
      <c r="E37" s="172"/>
      <c r="F37" s="172"/>
      <c r="G37" s="172"/>
      <c r="H37" s="174"/>
      <c r="I37" s="174"/>
      <c r="J37" s="175"/>
      <c r="K37" s="178"/>
      <c r="L37" s="177"/>
      <c r="M37" s="178"/>
      <c r="N37" s="179"/>
      <c r="O37" s="186"/>
      <c r="P37" s="181"/>
      <c r="Q37" s="174"/>
      <c r="R37" s="174"/>
      <c r="S37" s="175"/>
      <c r="U37" s="187">
        <f>+IFERROR(VLOOKUP(D37,Datos!$R$24:$T$40,3,FALSE), "0")*N37</f>
        <v>0</v>
      </c>
      <c r="V37" s="183" t="str">
        <f t="shared" si="5"/>
        <v/>
      </c>
      <c r="W37" s="183" t="str">
        <f t="shared" si="7"/>
        <v/>
      </c>
      <c r="X37" s="183" t="str">
        <f t="shared" si="6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/>
      <c r="J38" s="175">
        <f>MOD(I38-H38, 1)</f>
        <v>0</v>
      </c>
      <c r="K38" s="178"/>
      <c r="L38" s="177"/>
      <c r="M38" s="178"/>
      <c r="N38" s="179"/>
      <c r="O38" s="225"/>
      <c r="P38" s="172"/>
      <c r="Q38" s="172"/>
      <c r="R38" s="172"/>
      <c r="S38" s="175">
        <f t="shared" ref="S38:S41" si="8">+MOD(R38-Q38,1)</f>
        <v>0</v>
      </c>
      <c r="U38" s="187">
        <f>+IFERROR(VLOOKUP(D38,Datos!$R$24:$T$40,3,FALSE), "0")*N38</f>
        <v>0</v>
      </c>
      <c r="V38" s="183" t="str">
        <f t="shared" si="5"/>
        <v/>
      </c>
      <c r="W38" s="183" t="str">
        <f t="shared" si="7"/>
        <v/>
      </c>
      <c r="X38" s="183" t="str">
        <f t="shared" si="6"/>
        <v/>
      </c>
    </row>
    <row r="39" spans="2:24" ht="38" customHeight="1" x14ac:dyDescent="0.3">
      <c r="B39" s="172"/>
      <c r="C39" s="173"/>
      <c r="D39" s="173"/>
      <c r="E39" s="172"/>
      <c r="F39" s="172"/>
      <c r="G39" s="172"/>
      <c r="H39" s="174"/>
      <c r="I39" s="174"/>
      <c r="J39" s="175">
        <f>MOD(I39-H39, 1)</f>
        <v>0</v>
      </c>
      <c r="K39" s="178"/>
      <c r="L39" s="177"/>
      <c r="M39" s="178"/>
      <c r="N39" s="179"/>
      <c r="O39" s="186"/>
      <c r="P39" s="172"/>
      <c r="Q39" s="172"/>
      <c r="R39" s="172"/>
      <c r="S39" s="175">
        <f t="shared" si="8"/>
        <v>0</v>
      </c>
      <c r="U39" s="187"/>
      <c r="V39" s="183" t="str">
        <f t="shared" si="5"/>
        <v/>
      </c>
      <c r="W39" s="183" t="str">
        <f t="shared" si="7"/>
        <v/>
      </c>
      <c r="X39" s="183" t="str">
        <f t="shared" si="6"/>
        <v/>
      </c>
    </row>
    <row r="40" spans="2:24" ht="38" customHeight="1" x14ac:dyDescent="0.3">
      <c r="B40" s="172"/>
      <c r="C40" s="173"/>
      <c r="D40" s="173"/>
      <c r="E40" s="172"/>
      <c r="F40" s="172"/>
      <c r="G40" s="172"/>
      <c r="H40" s="174"/>
      <c r="I40" s="174"/>
      <c r="J40" s="175">
        <f>MOD(I40-H40, 1)</f>
        <v>0</v>
      </c>
      <c r="K40" s="178"/>
      <c r="L40" s="177"/>
      <c r="M40" s="178"/>
      <c r="N40" s="179"/>
      <c r="O40" s="186"/>
      <c r="P40" s="172"/>
      <c r="Q40" s="172"/>
      <c r="R40" s="172"/>
      <c r="S40" s="175">
        <f t="shared" si="8"/>
        <v>0</v>
      </c>
      <c r="U40" s="187"/>
      <c r="V40" s="183" t="str">
        <f t="shared" si="5"/>
        <v/>
      </c>
      <c r="W40" s="183" t="str">
        <f t="shared" si="7"/>
        <v/>
      </c>
      <c r="X40" s="183" t="str">
        <f t="shared" si="6"/>
        <v/>
      </c>
    </row>
    <row r="41" spans="2:24" ht="38" customHeight="1" x14ac:dyDescent="0.3">
      <c r="B41" s="172"/>
      <c r="C41" s="173"/>
      <c r="D41" s="173"/>
      <c r="E41" s="172"/>
      <c r="F41" s="172"/>
      <c r="G41" s="172"/>
      <c r="H41" s="174"/>
      <c r="I41" s="174" t="s">
        <v>329</v>
      </c>
      <c r="J41" s="175">
        <v>0</v>
      </c>
      <c r="K41" s="178"/>
      <c r="L41" s="177"/>
      <c r="M41" s="178"/>
      <c r="N41" s="179"/>
      <c r="O41" s="186"/>
      <c r="P41" s="172"/>
      <c r="Q41" s="172"/>
      <c r="R41" s="172"/>
      <c r="S41" s="175">
        <f t="shared" si="8"/>
        <v>0</v>
      </c>
      <c r="U41" s="182">
        <f>SUM(U33:U40)</f>
        <v>0</v>
      </c>
      <c r="V41" s="183" t="str">
        <f t="shared" si="5"/>
        <v/>
      </c>
      <c r="W41" s="183" t="str">
        <f t="shared" si="7"/>
        <v/>
      </c>
      <c r="X41" s="183" t="str">
        <f t="shared" si="6"/>
        <v/>
      </c>
    </row>
    <row r="42" spans="2:24" ht="15.65" customHeight="1" thickBot="1" x14ac:dyDescent="0.35">
      <c r="B42" s="190"/>
      <c r="C42" s="190"/>
      <c r="D42" s="190"/>
      <c r="E42" s="190"/>
      <c r="F42" s="190"/>
      <c r="G42" s="190"/>
      <c r="H42" s="190"/>
      <c r="J42" s="190"/>
      <c r="K42" s="190"/>
      <c r="L42" s="190"/>
      <c r="M42" s="190"/>
      <c r="N42" s="190"/>
      <c r="O42" s="190"/>
      <c r="P42" s="190"/>
      <c r="Q42" s="190"/>
      <c r="R42" s="190"/>
      <c r="S42" s="190"/>
    </row>
    <row r="43" spans="2:24" ht="30" customHeight="1" thickBot="1" x14ac:dyDescent="0.35">
      <c r="B43" s="191"/>
      <c r="C43" s="446" t="s">
        <v>64</v>
      </c>
      <c r="D43" s="446"/>
      <c r="E43" s="192"/>
      <c r="F43" s="192"/>
      <c r="G43" s="431">
        <v>3500</v>
      </c>
      <c r="H43" s="432"/>
      <c r="I43" s="431">
        <v>3700</v>
      </c>
      <c r="J43" s="432"/>
      <c r="K43" s="433" t="s">
        <v>146</v>
      </c>
      <c r="L43" s="434"/>
      <c r="M43" s="190"/>
      <c r="N43" s="190"/>
      <c r="O43" s="190"/>
      <c r="P43" s="190"/>
      <c r="Q43" s="190"/>
      <c r="R43" s="190"/>
      <c r="S43" s="190"/>
    </row>
    <row r="44" spans="2:24" ht="30" customHeight="1" x14ac:dyDescent="0.3">
      <c r="C44" s="194" t="s">
        <v>48</v>
      </c>
      <c r="D44" s="195">
        <f>SUMPRODUCT((LEFT(F21:F38, 1)="C") / (COUNTIF(F21:F38, F21:F38 &amp; "") + (F21:F38="")))</f>
        <v>0</v>
      </c>
      <c r="E44" s="447" t="s">
        <v>90</v>
      </c>
      <c r="F44" s="447"/>
      <c r="G44" s="196">
        <v>0.26041666666666669</v>
      </c>
      <c r="H44" s="197" t="s">
        <v>23</v>
      </c>
      <c r="I44" s="196">
        <v>0.26041666666666669</v>
      </c>
      <c r="J44" s="197" t="s">
        <v>23</v>
      </c>
      <c r="K44" s="198">
        <f>+G44</f>
        <v>0.26041666666666669</v>
      </c>
      <c r="L44" s="197" t="s">
        <v>23</v>
      </c>
      <c r="M44" s="190"/>
      <c r="N44" s="190"/>
      <c r="O44" s="190"/>
      <c r="P44" s="190"/>
      <c r="Q44" s="190"/>
      <c r="R44" s="190"/>
      <c r="S44" s="190"/>
    </row>
    <row r="45" spans="2:24" x14ac:dyDescent="0.3">
      <c r="C45" s="194" t="s">
        <v>49</v>
      </c>
      <c r="D45" s="195">
        <f>SUMPRODUCT((LEFT(F21:F38, 1)="O") / (COUNTIF(F21:F38, F21:F38 &amp; "") + (F21:F38="")))</f>
        <v>0</v>
      </c>
      <c r="E45" s="448" t="s">
        <v>198</v>
      </c>
      <c r="F45" s="448"/>
      <c r="G45" s="199">
        <f>SUM(J21:J29)</f>
        <v>0.80624999999999991</v>
      </c>
      <c r="H45" s="200">
        <f>+G45*24/($G$44*24)</f>
        <v>3.0959999999999996</v>
      </c>
      <c r="I45" s="199">
        <f>SUM(J33:J38)</f>
        <v>0.49999999999999989</v>
      </c>
      <c r="J45" s="200">
        <f>+I45*24/($I$44*24)</f>
        <v>1.9199999999999995</v>
      </c>
      <c r="K45" s="201">
        <f>AVERAGE(G45+I45)/2</f>
        <v>0.65312499999999996</v>
      </c>
      <c r="L45" s="200">
        <f>+K45*24/($K$44*24)</f>
        <v>2.508</v>
      </c>
      <c r="M45" s="190"/>
      <c r="N45" s="190"/>
      <c r="O45" s="190"/>
      <c r="P45" s="190"/>
      <c r="Q45" s="190"/>
      <c r="R45" s="190"/>
      <c r="S45" s="190"/>
    </row>
    <row r="46" spans="2:24" ht="43.25" customHeight="1" thickBot="1" x14ac:dyDescent="0.35">
      <c r="E46" s="448" t="s">
        <v>94</v>
      </c>
      <c r="F46" s="448"/>
      <c r="G46" s="202"/>
      <c r="H46" s="203">
        <f>+AVERAGE(N21:N30)</f>
        <v>1</v>
      </c>
      <c r="I46" s="202"/>
      <c r="J46" s="203">
        <f>+AVERAGE(N33:N38)</f>
        <v>1</v>
      </c>
      <c r="K46" s="204"/>
      <c r="L46" s="203">
        <f>+AVERAGE(N21:N38)</f>
        <v>1</v>
      </c>
    </row>
    <row r="47" spans="2:24" ht="43.25" customHeight="1" x14ac:dyDescent="0.3">
      <c r="E47" s="205"/>
      <c r="F47" s="205"/>
      <c r="G47" s="206"/>
      <c r="H47" s="206"/>
      <c r="I47" s="137"/>
      <c r="J47" s="137"/>
      <c r="K47" s="137"/>
      <c r="L47" s="137"/>
    </row>
    <row r="48" spans="2:24" ht="43.25" customHeight="1" x14ac:dyDescent="0.3">
      <c r="E48" s="194"/>
      <c r="F48" s="194"/>
      <c r="G48" s="207"/>
      <c r="H48" s="208" t="s">
        <v>24</v>
      </c>
      <c r="I48" s="208" t="s">
        <v>199</v>
      </c>
      <c r="J48" s="208" t="s">
        <v>201</v>
      </c>
      <c r="K48" s="208" t="s">
        <v>404</v>
      </c>
      <c r="L48" s="345" t="s">
        <v>484</v>
      </c>
      <c r="M48" s="345" t="s">
        <v>485</v>
      </c>
      <c r="N48" s="208"/>
    </row>
    <row r="49" spans="2:13" ht="14.5" x14ac:dyDescent="0.35">
      <c r="E49" s="445" t="s">
        <v>174</v>
      </c>
      <c r="F49" s="445"/>
      <c r="G49" s="445"/>
      <c r="H49" s="209">
        <f>+U41</f>
        <v>0</v>
      </c>
      <c r="I49" s="298">
        <f>+H49*$J$49*$K$49</f>
        <v>0</v>
      </c>
      <c r="J49" s="298">
        <v>6.6</v>
      </c>
      <c r="K49" s="246">
        <v>3.42</v>
      </c>
      <c r="L49" s="344">
        <v>56.080975609756102</v>
      </c>
      <c r="M49" s="344">
        <f>+L49*K49*H49</f>
        <v>0</v>
      </c>
    </row>
    <row r="50" spans="2:13" ht="14.4" customHeight="1" x14ac:dyDescent="0.35">
      <c r="E50" s="445" t="s">
        <v>224</v>
      </c>
      <c r="F50" s="445"/>
      <c r="G50" s="445"/>
      <c r="H50" s="209"/>
      <c r="I50" s="298">
        <f>+J50*K50</f>
        <v>0</v>
      </c>
      <c r="J50" s="298">
        <f>1892/1000000</f>
        <v>1.892E-3</v>
      </c>
      <c r="K50" s="246">
        <f>+((15*4.4)*2.72)*0</f>
        <v>0</v>
      </c>
      <c r="L50" s="346">
        <v>1.6919982016368774E-2</v>
      </c>
      <c r="M50" s="344">
        <f>+L50*K50</f>
        <v>0</v>
      </c>
    </row>
    <row r="51" spans="2:13" ht="14.4" customHeight="1" x14ac:dyDescent="0.35">
      <c r="E51" s="445" t="s">
        <v>359</v>
      </c>
      <c r="F51" s="445"/>
      <c r="G51" s="445"/>
      <c r="H51" s="209"/>
      <c r="I51" s="298">
        <f>+J51*K51</f>
        <v>0</v>
      </c>
      <c r="J51" s="298">
        <v>0.340368</v>
      </c>
      <c r="K51" s="246">
        <v>0</v>
      </c>
      <c r="L51" s="346">
        <v>2.2358937544867188</v>
      </c>
      <c r="M51" s="344">
        <f>+L51*K51</f>
        <v>0</v>
      </c>
    </row>
    <row r="52" spans="2:13" ht="14.4" customHeight="1" x14ac:dyDescent="0.35">
      <c r="E52" s="445" t="s">
        <v>376</v>
      </c>
      <c r="F52" s="445"/>
      <c r="G52" s="445"/>
      <c r="H52" s="209">
        <v>0</v>
      </c>
      <c r="I52" s="298">
        <f>+H52*$J$52*$K$52</f>
        <v>0</v>
      </c>
      <c r="J52" s="298">
        <f>23683234/1000000</f>
        <v>23.683233999999999</v>
      </c>
      <c r="K52" s="226">
        <v>0</v>
      </c>
      <c r="L52" s="346">
        <v>254.98967741935485</v>
      </c>
      <c r="M52" s="344">
        <f>+L52*K52*H52</f>
        <v>0</v>
      </c>
    </row>
    <row r="53" spans="2:13" ht="14.4" customHeight="1" x14ac:dyDescent="0.35">
      <c r="E53" s="445" t="s">
        <v>236</v>
      </c>
      <c r="F53" s="445"/>
      <c r="G53" s="445"/>
      <c r="H53" s="209"/>
      <c r="I53" s="298">
        <f>+J53*K53</f>
        <v>0</v>
      </c>
      <c r="J53" s="298">
        <f>25508/1000000</f>
        <v>2.5507999999999999E-2</v>
      </c>
      <c r="K53" s="246">
        <f>7/(0.05)*0</f>
        <v>0</v>
      </c>
      <c r="L53" s="347" t="s">
        <v>486</v>
      </c>
      <c r="M53" s="349"/>
    </row>
    <row r="54" spans="2:13" ht="14.4" customHeight="1" x14ac:dyDescent="0.35">
      <c r="E54" s="445" t="s">
        <v>451</v>
      </c>
      <c r="F54" s="445"/>
      <c r="G54" s="445"/>
      <c r="H54" s="209">
        <v>1</v>
      </c>
      <c r="I54" s="298">
        <f>H54*J54</f>
        <v>7.9892054999999997</v>
      </c>
      <c r="J54" s="298">
        <f>15978411/2000000</f>
        <v>7.9892054999999997</v>
      </c>
      <c r="K54" s="246"/>
      <c r="L54" s="347" t="s">
        <v>486</v>
      </c>
      <c r="M54" s="344"/>
    </row>
    <row r="55" spans="2:13" ht="14.4" customHeight="1" x14ac:dyDescent="0.35">
      <c r="E55" s="445" t="s">
        <v>298</v>
      </c>
      <c r="F55" s="445"/>
      <c r="G55" s="445"/>
      <c r="H55" s="209"/>
      <c r="I55" s="210">
        <f>SUM(I49:I54)</f>
        <v>7.9892054999999997</v>
      </c>
      <c r="J55" s="214"/>
      <c r="K55" s="246"/>
      <c r="L55" s="344"/>
      <c r="M55" s="344"/>
    </row>
    <row r="56" spans="2:13" ht="14.4" customHeight="1" x14ac:dyDescent="0.35">
      <c r="E56" s="227"/>
      <c r="F56" s="227"/>
      <c r="G56" s="227"/>
      <c r="H56" s="209"/>
      <c r="I56" s="210"/>
      <c r="J56" s="214"/>
      <c r="K56" s="246"/>
      <c r="L56" s="344"/>
      <c r="M56" s="344"/>
    </row>
    <row r="57" spans="2:13" ht="14.4" customHeight="1" x14ac:dyDescent="0.35">
      <c r="E57" s="445" t="s">
        <v>175</v>
      </c>
      <c r="F57" s="445"/>
      <c r="G57" s="445"/>
      <c r="H57" s="209">
        <f>+U30</f>
        <v>0.2589845978322875</v>
      </c>
      <c r="I57" s="210">
        <f>+H57*$J$57*$K$57</f>
        <v>10.451582430119794</v>
      </c>
      <c r="J57" s="211">
        <v>11.8</v>
      </c>
      <c r="K57" s="246">
        <v>3.42</v>
      </c>
      <c r="L57" s="344">
        <v>118.52055555555555</v>
      </c>
      <c r="M57" s="344">
        <f>+L57*K57*H57</f>
        <v>104.97689458071875</v>
      </c>
    </row>
    <row r="58" spans="2:13" ht="14.4" customHeight="1" x14ac:dyDescent="0.35">
      <c r="E58" s="445" t="s">
        <v>225</v>
      </c>
      <c r="F58" s="445"/>
      <c r="G58" s="445"/>
      <c r="H58" s="209"/>
      <c r="I58" s="210">
        <f>+J58*K58</f>
        <v>0</v>
      </c>
      <c r="J58" s="296">
        <f>+J50*0</f>
        <v>0</v>
      </c>
      <c r="K58" s="215">
        <f>+((15*2.8)*2.72)*K29</f>
        <v>0</v>
      </c>
      <c r="L58" s="346">
        <v>1.6919982016368774E-2</v>
      </c>
      <c r="M58" s="344">
        <f>+L58*K58</f>
        <v>0</v>
      </c>
    </row>
    <row r="59" spans="2:13" ht="14.4" customHeight="1" x14ac:dyDescent="0.35">
      <c r="E59" s="445" t="s">
        <v>297</v>
      </c>
      <c r="F59" s="445"/>
      <c r="G59" s="445"/>
      <c r="H59" s="209"/>
      <c r="I59" s="210">
        <f>SUM(I57:I58)</f>
        <v>10.451582430119794</v>
      </c>
      <c r="J59" s="214"/>
      <c r="K59" s="246"/>
      <c r="L59" s="347"/>
      <c r="M59" s="349"/>
    </row>
    <row r="60" spans="2:13" ht="14.4" customHeight="1" x14ac:dyDescent="0.3">
      <c r="E60" s="227"/>
      <c r="F60" s="227"/>
      <c r="G60" s="227"/>
      <c r="H60" s="209"/>
      <c r="I60" s="210"/>
      <c r="J60" s="214"/>
      <c r="K60" s="246"/>
      <c r="L60" s="213"/>
      <c r="M60" s="352">
        <f>SUM(M49:M59)</f>
        <v>104.97689458071875</v>
      </c>
    </row>
    <row r="61" spans="2:13" ht="14.4" customHeight="1" x14ac:dyDescent="0.3">
      <c r="L61" s="213"/>
    </row>
    <row r="62" spans="2:13" ht="7.75" customHeight="1" thickBot="1" x14ac:dyDescent="0.35"/>
    <row r="63" spans="2:13" ht="30" customHeight="1" thickBot="1" x14ac:dyDescent="0.35">
      <c r="B63" s="191"/>
      <c r="C63" s="446" t="s">
        <v>88</v>
      </c>
      <c r="D63" s="446"/>
      <c r="E63" s="192"/>
      <c r="F63" s="192"/>
      <c r="G63" s="192"/>
      <c r="H63" s="192"/>
      <c r="I63" s="216"/>
      <c r="J63" s="193"/>
    </row>
    <row r="64" spans="2:13" ht="38" customHeight="1" x14ac:dyDescent="0.3">
      <c r="C64" s="217" t="s">
        <v>89</v>
      </c>
      <c r="D64" s="195">
        <f>SUMPRODUCT((LEFT(G21:G38, 5)="Jumbo") / (COUNTIF(G21:G38, G21:G38 &amp; "") + (G21:G38="")))</f>
        <v>0</v>
      </c>
      <c r="E64" s="447" t="s">
        <v>90</v>
      </c>
      <c r="F64" s="447"/>
      <c r="G64" s="218">
        <v>0.20833333333333334</v>
      </c>
      <c r="I64" s="139"/>
      <c r="J64" s="190"/>
    </row>
    <row r="65" spans="2:10" ht="38" customHeight="1" x14ac:dyDescent="0.3">
      <c r="E65" s="447" t="s">
        <v>93</v>
      </c>
      <c r="F65" s="447"/>
      <c r="G65" s="195">
        <f>15000/(60)</f>
        <v>250</v>
      </c>
      <c r="H65" s="219" t="s">
        <v>143</v>
      </c>
      <c r="I65" s="139"/>
      <c r="J65" s="190"/>
    </row>
    <row r="66" spans="2:10" ht="38" customHeight="1" x14ac:dyDescent="0.3">
      <c r="E66" s="448" t="s">
        <v>91</v>
      </c>
      <c r="F66" s="448"/>
      <c r="G66" s="207" t="e">
        <f>+SUM(SUMIF($G$21:$G$38, "Jumbo*", $J$21:$J$38))/SUMPRODUCT((LEFT(G21:G38, 5)="Jumbo") / (COUNTIF(G21:G38, G21:G38 &amp; "") + (G21:G38="")))</f>
        <v>#DIV/0!</v>
      </c>
      <c r="H66" s="220" t="e">
        <f>+G66*24/($G$64*24)</f>
        <v>#DIV/0!</v>
      </c>
      <c r="I66" s="190"/>
      <c r="J66" s="190"/>
    </row>
    <row r="67" spans="2:10" ht="38" customHeight="1" x14ac:dyDescent="0.3">
      <c r="E67" s="448" t="s">
        <v>92</v>
      </c>
      <c r="F67" s="448"/>
      <c r="G67" s="221" t="e">
        <f>+SUM(V21:V38)/D64</f>
        <v>#DIV/0!</v>
      </c>
      <c r="H67" s="220" t="e">
        <f>+G67/G65</f>
        <v>#DIV/0!</v>
      </c>
      <c r="I67" s="190"/>
      <c r="J67" s="190"/>
    </row>
    <row r="68" spans="2:10" ht="38" customHeight="1" x14ac:dyDescent="0.3">
      <c r="G68" s="222" t="s">
        <v>87</v>
      </c>
      <c r="H68" s="139" t="s">
        <v>23</v>
      </c>
    </row>
    <row r="69" spans="2:10" ht="20" customHeight="1" x14ac:dyDescent="0.3">
      <c r="F69" s="208" t="s">
        <v>65</v>
      </c>
      <c r="G69" s="221">
        <f t="shared" ref="G69:G74" si="9" xml:space="preserve"> SUMIF($G$21:$G$38, +F69,$V$21:$V$38)</f>
        <v>0</v>
      </c>
      <c r="H69" s="220">
        <f t="shared" ref="H69:H74" si="10">+G69/$G$65</f>
        <v>0</v>
      </c>
    </row>
    <row r="70" spans="2:10" ht="20" customHeight="1" x14ac:dyDescent="0.3">
      <c r="F70" s="208" t="s">
        <v>66</v>
      </c>
      <c r="G70" s="221">
        <f t="shared" si="9"/>
        <v>0</v>
      </c>
      <c r="H70" s="220">
        <f t="shared" si="10"/>
        <v>0</v>
      </c>
    </row>
    <row r="71" spans="2:10" ht="20" customHeight="1" x14ac:dyDescent="0.3">
      <c r="F71" s="208" t="s">
        <v>67</v>
      </c>
      <c r="G71" s="221">
        <f t="shared" si="9"/>
        <v>0</v>
      </c>
      <c r="H71" s="220">
        <f t="shared" si="10"/>
        <v>0</v>
      </c>
    </row>
    <row r="72" spans="2:10" ht="20" customHeight="1" x14ac:dyDescent="0.3">
      <c r="F72" s="208" t="s">
        <v>68</v>
      </c>
      <c r="G72" s="221">
        <f t="shared" si="9"/>
        <v>0</v>
      </c>
      <c r="H72" s="220">
        <f t="shared" si="10"/>
        <v>0</v>
      </c>
    </row>
    <row r="73" spans="2:10" ht="20" customHeight="1" x14ac:dyDescent="0.3">
      <c r="F73" s="208" t="s">
        <v>69</v>
      </c>
      <c r="G73" s="221">
        <f t="shared" si="9"/>
        <v>0</v>
      </c>
      <c r="H73" s="220">
        <f t="shared" si="10"/>
        <v>0</v>
      </c>
    </row>
    <row r="74" spans="2:10" ht="20" customHeight="1" x14ac:dyDescent="0.3">
      <c r="F74" s="208" t="s">
        <v>70</v>
      </c>
      <c r="G74" s="221">
        <f t="shared" si="9"/>
        <v>0</v>
      </c>
      <c r="H74" s="220">
        <f t="shared" si="10"/>
        <v>0</v>
      </c>
    </row>
    <row r="75" spans="2:10" ht="20" customHeight="1" x14ac:dyDescent="0.3">
      <c r="F75" s="208" t="s">
        <v>146</v>
      </c>
      <c r="G75" s="223">
        <f>+SUM(G69:G74)</f>
        <v>0</v>
      </c>
      <c r="H75" s="220" t="e">
        <f>+G75/($G$65*$D$64)</f>
        <v>#DIV/0!</v>
      </c>
    </row>
    <row r="76" spans="2:10" ht="13.5" thickBot="1" x14ac:dyDescent="0.35"/>
    <row r="77" spans="2:10" ht="30" customHeight="1" thickBot="1" x14ac:dyDescent="0.35">
      <c r="B77" s="191"/>
      <c r="C77" s="446" t="s">
        <v>107</v>
      </c>
      <c r="D77" s="446"/>
      <c r="E77" s="192"/>
      <c r="F77" s="192"/>
      <c r="G77" s="192"/>
      <c r="H77" s="192"/>
      <c r="I77" s="216"/>
      <c r="J77" s="193"/>
    </row>
    <row r="78" spans="2:10" ht="38" customHeight="1" x14ac:dyDescent="0.3">
      <c r="C78" s="208" t="s">
        <v>95</v>
      </c>
      <c r="D78" s="195">
        <f>SUMPRODUCT((LEFT(G21:G38, 5)="Scoop") / (COUNTIF(G21:G38, G21:G38 &amp; "") + (G21:G38="")))</f>
        <v>1</v>
      </c>
      <c r="E78" s="447" t="s">
        <v>90</v>
      </c>
      <c r="F78" s="447"/>
      <c r="G78" s="218">
        <v>0.20833333333333334</v>
      </c>
      <c r="I78" s="139"/>
      <c r="J78" s="190"/>
    </row>
    <row r="79" spans="2:10" ht="38" customHeight="1" x14ac:dyDescent="0.3">
      <c r="C79" s="208" t="s">
        <v>145</v>
      </c>
      <c r="D79" s="195">
        <v>4.9000000000000004</v>
      </c>
      <c r="E79" s="447" t="s">
        <v>97</v>
      </c>
      <c r="F79" s="447"/>
      <c r="G79" s="195">
        <f>15000/(60)</f>
        <v>250</v>
      </c>
      <c r="H79" s="219" t="s">
        <v>23</v>
      </c>
      <c r="I79" s="139"/>
      <c r="J79" s="190"/>
    </row>
    <row r="80" spans="2:10" ht="38" customHeight="1" x14ac:dyDescent="0.3">
      <c r="E80" s="448" t="s">
        <v>98</v>
      </c>
      <c r="F80" s="448"/>
      <c r="G80" s="207">
        <f>+SUM(SUMIF($G$21:$G$38, "Scoop*", $J$21:$J$38))/SUMPRODUCT((LEFT(G21:G38, 5)="Scoop") / (COUNTIF(G21:G38, G21:G38 &amp; "") + (G21:G38="")))</f>
        <v>0.1743055555555556</v>
      </c>
      <c r="H80" s="220">
        <f>+G80*24/($G$78*24)</f>
        <v>0.83666666666666689</v>
      </c>
      <c r="I80" s="190"/>
      <c r="J80" s="190"/>
    </row>
    <row r="81" spans="2:10" ht="38" customHeight="1" x14ac:dyDescent="0.3">
      <c r="E81" s="448" t="s">
        <v>99</v>
      </c>
      <c r="F81" s="448"/>
      <c r="G81" s="221">
        <f>+SUM(W21:W38)*D79/D78</f>
        <v>333.20000000000005</v>
      </c>
      <c r="H81" s="220">
        <f>+G81/G79</f>
        <v>1.3328000000000002</v>
      </c>
      <c r="I81" s="190"/>
      <c r="J81" s="190"/>
    </row>
    <row r="82" spans="2:10" ht="38" customHeight="1" x14ac:dyDescent="0.3">
      <c r="G82" s="222" t="s">
        <v>96</v>
      </c>
      <c r="H82" s="139" t="s">
        <v>23</v>
      </c>
    </row>
    <row r="83" spans="2:10" ht="20" customHeight="1" x14ac:dyDescent="0.3">
      <c r="F83" s="208" t="s">
        <v>71</v>
      </c>
      <c r="G83" s="221">
        <f t="shared" ref="G83:G88" si="11" xml:space="preserve"> SUMIF($G$21:$G$38, +F83,$W$21:$W$38)*$D$79</f>
        <v>0</v>
      </c>
      <c r="H83" s="220">
        <f>+G83/$G$79</f>
        <v>0</v>
      </c>
    </row>
    <row r="84" spans="2:10" ht="20" customHeight="1" x14ac:dyDescent="0.3">
      <c r="F84" s="208" t="s">
        <v>72</v>
      </c>
      <c r="G84" s="221">
        <f t="shared" si="11"/>
        <v>0</v>
      </c>
      <c r="H84" s="220">
        <f t="shared" ref="H84:H89" si="12">+G84/$G$79</f>
        <v>0</v>
      </c>
    </row>
    <row r="85" spans="2:10" ht="20" customHeight="1" x14ac:dyDescent="0.3">
      <c r="F85" s="208" t="s">
        <v>73</v>
      </c>
      <c r="G85" s="221">
        <f t="shared" si="11"/>
        <v>0</v>
      </c>
      <c r="H85" s="220">
        <f t="shared" si="12"/>
        <v>0</v>
      </c>
    </row>
    <row r="86" spans="2:10" ht="20" customHeight="1" x14ac:dyDescent="0.3">
      <c r="F86" s="208" t="s">
        <v>74</v>
      </c>
      <c r="G86" s="221">
        <f t="shared" si="11"/>
        <v>0</v>
      </c>
      <c r="H86" s="220">
        <f t="shared" si="12"/>
        <v>0</v>
      </c>
    </row>
    <row r="87" spans="2:10" ht="20" customHeight="1" x14ac:dyDescent="0.3">
      <c r="F87" s="208" t="s">
        <v>75</v>
      </c>
      <c r="G87" s="221">
        <f t="shared" si="11"/>
        <v>0</v>
      </c>
      <c r="H87" s="220">
        <f t="shared" si="12"/>
        <v>0</v>
      </c>
    </row>
    <row r="88" spans="2:10" ht="20" customHeight="1" x14ac:dyDescent="0.3">
      <c r="F88" s="208" t="s">
        <v>76</v>
      </c>
      <c r="G88" s="221">
        <f t="shared" si="11"/>
        <v>0</v>
      </c>
      <c r="H88" s="220">
        <f t="shared" si="12"/>
        <v>0</v>
      </c>
    </row>
    <row r="89" spans="2:10" ht="20" customHeight="1" x14ac:dyDescent="0.3">
      <c r="F89" s="208" t="s">
        <v>146</v>
      </c>
      <c r="G89" s="223">
        <f>+SUM(G83:G88)</f>
        <v>0</v>
      </c>
      <c r="H89" s="220">
        <f t="shared" si="12"/>
        <v>0</v>
      </c>
    </row>
    <row r="90" spans="2:10" ht="13.5" thickBot="1" x14ac:dyDescent="0.35"/>
    <row r="91" spans="2:10" ht="30" customHeight="1" thickBot="1" x14ac:dyDescent="0.35">
      <c r="B91" s="191"/>
      <c r="C91" s="446" t="s">
        <v>149</v>
      </c>
      <c r="D91" s="446"/>
      <c r="E91" s="192"/>
      <c r="F91" s="192"/>
      <c r="G91" s="192"/>
      <c r="H91" s="192"/>
      <c r="I91" s="216"/>
      <c r="J91" s="193"/>
    </row>
    <row r="92" spans="2:10" ht="25.25" customHeight="1" x14ac:dyDescent="0.3">
      <c r="C92" s="208" t="s">
        <v>150</v>
      </c>
      <c r="D92" s="195">
        <f>SUMPRODUCT((LEFT(G21:G38, 8)="Roboshot") / (COUNTIF(G21:G38, G21:G38 &amp; "") + (G21:G38="")))</f>
        <v>0</v>
      </c>
      <c r="E92" s="447" t="s">
        <v>90</v>
      </c>
      <c r="F92" s="447"/>
      <c r="G92" s="218">
        <v>0.20833333333333334</v>
      </c>
    </row>
    <row r="93" spans="2:10" x14ac:dyDescent="0.3">
      <c r="C93" s="208"/>
      <c r="D93" s="195"/>
      <c r="E93" s="447" t="s">
        <v>97</v>
      </c>
      <c r="F93" s="447"/>
      <c r="G93" s="195">
        <v>12</v>
      </c>
      <c r="H93" s="219" t="s">
        <v>23</v>
      </c>
    </row>
    <row r="95" spans="2:10" x14ac:dyDescent="0.3">
      <c r="G95" s="222" t="s">
        <v>96</v>
      </c>
      <c r="H95" s="139" t="s">
        <v>23</v>
      </c>
    </row>
    <row r="96" spans="2:10" x14ac:dyDescent="0.3">
      <c r="F96" s="208" t="s">
        <v>77</v>
      </c>
      <c r="G96" s="221">
        <f xml:space="preserve"> SUMIF($G$21:$G$38, +F96,$X$21:$X$38)</f>
        <v>0</v>
      </c>
      <c r="H96" s="220">
        <f>+G96/$G$93</f>
        <v>0</v>
      </c>
    </row>
    <row r="97" spans="6:8" x14ac:dyDescent="0.3">
      <c r="F97" s="208" t="s">
        <v>78</v>
      </c>
      <c r="G97" s="221">
        <f xml:space="preserve"> SUMIF($G$21:$G$38, +F97,$X$21:$X$38)</f>
        <v>0</v>
      </c>
      <c r="H97" s="220">
        <f t="shared" ref="H97:H98" si="13">+G97/$G$93</f>
        <v>0</v>
      </c>
    </row>
    <row r="98" spans="6:8" x14ac:dyDescent="0.3">
      <c r="F98" s="208" t="s">
        <v>79</v>
      </c>
      <c r="G98" s="221">
        <f xml:space="preserve"> SUMIF($G$21:$G$38, +F98,$X$21:$X$38)</f>
        <v>0</v>
      </c>
      <c r="H98" s="220">
        <f t="shared" si="13"/>
        <v>0</v>
      </c>
    </row>
    <row r="99" spans="6:8" x14ac:dyDescent="0.3">
      <c r="F99" s="208" t="s">
        <v>146</v>
      </c>
      <c r="G99" s="223">
        <f>+SUM(G96:G98)</f>
        <v>0</v>
      </c>
      <c r="H99" s="220">
        <f>+G99/$G$93</f>
        <v>0</v>
      </c>
    </row>
  </sheetData>
  <mergeCells count="41">
    <mergeCell ref="K8:L8"/>
    <mergeCell ref="B1:D4"/>
    <mergeCell ref="E2:R2"/>
    <mergeCell ref="E3:R4"/>
    <mergeCell ref="K6:L6"/>
    <mergeCell ref="K7:L7"/>
    <mergeCell ref="E51:G51"/>
    <mergeCell ref="K9:L9"/>
    <mergeCell ref="K10:L10"/>
    <mergeCell ref="K11:L11"/>
    <mergeCell ref="K12:L12"/>
    <mergeCell ref="B14:S14"/>
    <mergeCell ref="C43:D43"/>
    <mergeCell ref="G43:H43"/>
    <mergeCell ref="I43:J43"/>
    <mergeCell ref="K43:L43"/>
    <mergeCell ref="E44:F44"/>
    <mergeCell ref="E45:F45"/>
    <mergeCell ref="E46:F46"/>
    <mergeCell ref="E49:G49"/>
    <mergeCell ref="E50:G50"/>
    <mergeCell ref="E52:G52"/>
    <mergeCell ref="E53:G53"/>
    <mergeCell ref="E55:G55"/>
    <mergeCell ref="E57:G57"/>
    <mergeCell ref="E58:G58"/>
    <mergeCell ref="C91:D91"/>
    <mergeCell ref="E92:F92"/>
    <mergeCell ref="C63:D63"/>
    <mergeCell ref="E64:F64"/>
    <mergeCell ref="E65:F65"/>
    <mergeCell ref="E66:F66"/>
    <mergeCell ref="E67:F67"/>
    <mergeCell ref="C77:D77"/>
    <mergeCell ref="E93:F93"/>
    <mergeCell ref="E54:G54"/>
    <mergeCell ref="E78:F78"/>
    <mergeCell ref="E79:F79"/>
    <mergeCell ref="E80:F80"/>
    <mergeCell ref="E81:F81"/>
    <mergeCell ref="E59:G59"/>
  </mergeCells>
  <conditionalFormatting sqref="H45:H46 J45:J46">
    <cfRule type="cellIs" dxfId="524" priority="13" operator="greaterThan">
      <formula>0.9</formula>
    </cfRule>
    <cfRule type="cellIs" dxfId="523" priority="14" operator="between">
      <formula>0.81</formula>
      <formula>0.89</formula>
    </cfRule>
    <cfRule type="cellIs" dxfId="522" priority="15" operator="lessThan">
      <formula>0.8</formula>
    </cfRule>
  </conditionalFormatting>
  <conditionalFormatting sqref="H66:H67">
    <cfRule type="cellIs" dxfId="521" priority="16" operator="greaterThan">
      <formula>0.9</formula>
    </cfRule>
    <cfRule type="cellIs" dxfId="520" priority="17" operator="between">
      <formula>0.81</formula>
      <formula>0.89</formula>
    </cfRule>
    <cfRule type="cellIs" dxfId="519" priority="18" operator="lessThan">
      <formula>0.8</formula>
    </cfRule>
  </conditionalFormatting>
  <conditionalFormatting sqref="H69:H75">
    <cfRule type="cellIs" dxfId="518" priority="19" operator="greaterThan">
      <formula>0.9</formula>
    </cfRule>
    <cfRule type="cellIs" dxfId="517" priority="20" operator="between">
      <formula>0.81</formula>
      <formula>0.89</formula>
    </cfRule>
    <cfRule type="cellIs" dxfId="516" priority="21" operator="lessThan">
      <formula>0.8</formula>
    </cfRule>
  </conditionalFormatting>
  <conditionalFormatting sqref="H80:H81">
    <cfRule type="cellIs" dxfId="515" priority="7" operator="greaterThan">
      <formula>0.9</formula>
    </cfRule>
    <cfRule type="cellIs" dxfId="514" priority="8" operator="between">
      <formula>0.81</formula>
      <formula>0.89</formula>
    </cfRule>
    <cfRule type="cellIs" dxfId="513" priority="9" operator="lessThan">
      <formula>0.8</formula>
    </cfRule>
  </conditionalFormatting>
  <conditionalFormatting sqref="H83:H89">
    <cfRule type="cellIs" dxfId="512" priority="10" operator="greaterThan">
      <formula>0.9</formula>
    </cfRule>
    <cfRule type="cellIs" dxfId="511" priority="11" operator="between">
      <formula>0.81</formula>
      <formula>0.89</formula>
    </cfRule>
    <cfRule type="cellIs" dxfId="510" priority="12" operator="lessThan">
      <formula>0.8</formula>
    </cfRule>
  </conditionalFormatting>
  <conditionalFormatting sqref="H96:H99">
    <cfRule type="cellIs" dxfId="509" priority="4" operator="greaterThan">
      <formula>0.9</formula>
    </cfRule>
    <cfRule type="cellIs" dxfId="508" priority="5" operator="between">
      <formula>0.81</formula>
      <formula>0.89</formula>
    </cfRule>
    <cfRule type="cellIs" dxfId="507" priority="6" operator="lessThan">
      <formula>0.8</formula>
    </cfRule>
  </conditionalFormatting>
  <conditionalFormatting sqref="L45:L46">
    <cfRule type="cellIs" dxfId="506" priority="1" operator="greaterThan">
      <formula>0.9</formula>
    </cfRule>
    <cfRule type="cellIs" dxfId="505" priority="2" operator="between">
      <formula>0.81</formula>
      <formula>0.89</formula>
    </cfRule>
    <cfRule type="cellIs" dxfId="504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CA188442-A4C2-4D35-AA99-F7E1CD2317AB}">
          <x14:formula1>
            <xm:f>Datos!$B$3:$B$8</xm:f>
          </x14:formula1>
          <xm:sqref>E33:E41 E21:E30</xm:sqref>
        </x14:dataValidation>
        <x14:dataValidation type="list" allowBlank="1" showInputMessage="1" showErrorMessage="1" xr:uid="{21A3D66B-41F0-48AE-94F8-2DEC21A8A63C}">
          <x14:formula1>
            <xm:f>Datos!$D$3:$D$27</xm:f>
          </x14:formula1>
          <xm:sqref>F33:F41 F21:F30</xm:sqref>
        </x14:dataValidation>
        <x14:dataValidation type="list" allowBlank="1" showInputMessage="1" showErrorMessage="1" xr:uid="{01680825-5AD6-4933-AA6B-36CC315B87CA}">
          <x14:formula1>
            <xm:f>Datos!$W$3:$W$12</xm:f>
          </x14:formula1>
          <xm:sqref>L33:L41 L21:L30</xm:sqref>
        </x14:dataValidation>
        <x14:dataValidation type="list" allowBlank="1" showInputMessage="1" showErrorMessage="1" xr:uid="{451BE433-9F0B-482E-952E-36703ED8B306}">
          <x14:formula1>
            <xm:f>Datos!$F$3:$F$41</xm:f>
          </x14:formula1>
          <xm:sqref>G33:G41 G21:G30</xm:sqref>
        </x14:dataValidation>
        <x14:dataValidation type="list" allowBlank="1" showInputMessage="1" showErrorMessage="1" xr:uid="{91D4F208-DEC6-41DD-9AF0-0459BD5CF031}">
          <x14:formula1>
            <xm:f>Datos!$H$3:$H$26</xm:f>
          </x14:formula1>
          <xm:sqref>D30 D41</xm:sqref>
        </x14:dataValidation>
        <x14:dataValidation type="list" allowBlank="1" showInputMessage="1" showErrorMessage="1" xr:uid="{1B76DC39-6595-4D3D-AAFA-E77D87A4C941}">
          <x14:formula1>
            <xm:f>Datos!$H$3:$H$34</xm:f>
          </x14:formula1>
          <xm:sqref>D33:D40 D21:D29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70F4-8F6F-44CA-A844-A6A703E18451}">
  <sheetPr>
    <pageSetUpPr fitToPage="1"/>
  </sheetPr>
  <dimension ref="B1:X100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I30" sqref="I30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+G46</f>
        <v>0.86805555555555569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+H47</f>
        <v>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+G76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+G90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+G100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60</v>
      </c>
      <c r="E21" s="172"/>
      <c r="F21" s="172"/>
      <c r="G21" s="172"/>
      <c r="H21" s="174">
        <v>0.36458333333333331</v>
      </c>
      <c r="I21" s="174">
        <v>0.4375</v>
      </c>
      <c r="J21" s="175">
        <f>I21-H21</f>
        <v>7.2916666666666685E-2</v>
      </c>
      <c r="K21" s="178"/>
      <c r="L21" s="177"/>
      <c r="M21" s="178"/>
      <c r="N21" s="179">
        <v>1</v>
      </c>
      <c r="O21" s="186"/>
      <c r="P21" s="173"/>
      <c r="Q21" s="174"/>
      <c r="R21" s="174"/>
      <c r="S21" s="175">
        <f>+MOD(R21-Q21,1)</f>
        <v>0</v>
      </c>
      <c r="U21" s="182">
        <f>+IFERROR(VLOOKUP(D21,Datos!$R$3:$T$19,3,FALSE), "0")*N21</f>
        <v>1.1409013120365085E-2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57</v>
      </c>
      <c r="E22" s="172"/>
      <c r="F22" s="172"/>
      <c r="G22" s="172"/>
      <c r="H22" s="174">
        <v>0.42708333333333331</v>
      </c>
      <c r="I22" s="174">
        <v>0.55208333333333337</v>
      </c>
      <c r="J22" s="175">
        <f>I22-H22</f>
        <v>0.12500000000000006</v>
      </c>
      <c r="K22" s="178">
        <v>41</v>
      </c>
      <c r="L22" s="177" t="s">
        <v>138</v>
      </c>
      <c r="M22" s="178">
        <v>4</v>
      </c>
      <c r="N22" s="179">
        <v>1</v>
      </c>
      <c r="O22" s="225" t="s">
        <v>447</v>
      </c>
      <c r="P22" s="181"/>
      <c r="Q22" s="174"/>
      <c r="R22" s="172"/>
      <c r="S22" s="175">
        <f t="shared" ref="S22:S31" si="0">+MOD(R22-Q22,1)</f>
        <v>0</v>
      </c>
      <c r="U22" s="182">
        <f>+IFERROR(VLOOKUP(D22,Datos!$R$3:$T$19,3,FALSE), "0")*N22</f>
        <v>8.6138049058756397E-2</v>
      </c>
      <c r="V22" s="183">
        <f t="shared" ref="V22:V31" si="1">IF(OR(D22="Perforación de Fortificación", D22="Perforación de Avance", D22="Perforación Desquinche"), K22*M22, "")</f>
        <v>164</v>
      </c>
      <c r="W22" s="183" t="str">
        <f t="shared" ref="W22:W31" si="2">IF(D22="Extracción de Marina Disparo",K22,"")</f>
        <v/>
      </c>
      <c r="X22" s="183" t="str">
        <f t="shared" ref="X22:X31" si="3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56</v>
      </c>
      <c r="E23" s="172"/>
      <c r="F23" s="172"/>
      <c r="G23" s="172"/>
      <c r="H23" s="174">
        <v>0.60069444444444442</v>
      </c>
      <c r="I23" s="174">
        <v>0.61805555555555558</v>
      </c>
      <c r="J23" s="175">
        <f>I23-H23</f>
        <v>1.736111111111116E-2</v>
      </c>
      <c r="K23" s="178"/>
      <c r="L23" s="177"/>
      <c r="M23" s="178"/>
      <c r="N23" s="179">
        <v>1</v>
      </c>
      <c r="O23" s="186"/>
      <c r="P23" s="181"/>
      <c r="Q23" s="174"/>
      <c r="R23" s="172"/>
      <c r="S23" s="175">
        <f t="shared" si="0"/>
        <v>0</v>
      </c>
      <c r="U23" s="182">
        <f>+IFERROR(VLOOKUP(D23,Datos!$R$3:$T$19,3,FALSE), "0")*N23</f>
        <v>4.2783799201369072E-2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172</v>
      </c>
      <c r="E24" s="172"/>
      <c r="F24" s="172"/>
      <c r="G24" s="172"/>
      <c r="H24" s="174">
        <v>0.61805555555555558</v>
      </c>
      <c r="I24" s="174">
        <v>0.63888888888888884</v>
      </c>
      <c r="J24" s="175">
        <f>I24-H24</f>
        <v>2.0833333333333259E-2</v>
      </c>
      <c r="K24" s="178"/>
      <c r="L24" s="177"/>
      <c r="M24" s="178"/>
      <c r="N24" s="179">
        <v>1</v>
      </c>
      <c r="O24" s="186"/>
      <c r="P24" s="181"/>
      <c r="Q24" s="174"/>
      <c r="R24" s="174"/>
      <c r="S24" s="175"/>
      <c r="U24" s="182">
        <f>+IFERROR(VLOOKUP(D24,Datos!$R$3:$T$19,3,FALSE), "0")*N24</f>
        <v>0</v>
      </c>
      <c r="V24" s="183" t="str">
        <f t="shared" si="1"/>
        <v/>
      </c>
      <c r="W24" s="183" t="str">
        <f t="shared" si="2"/>
        <v/>
      </c>
      <c r="X24" s="183" t="str">
        <f t="shared" si="3"/>
        <v/>
      </c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54</v>
      </c>
      <c r="E25" s="172"/>
      <c r="F25" s="172"/>
      <c r="G25" s="172"/>
      <c r="H25" s="174">
        <v>0.63888888888888884</v>
      </c>
      <c r="I25" s="174">
        <v>0.77083333333333337</v>
      </c>
      <c r="J25" s="175">
        <f>I25-H25</f>
        <v>0.13194444444444453</v>
      </c>
      <c r="K25" s="178">
        <v>41</v>
      </c>
      <c r="L25" s="177" t="s">
        <v>125</v>
      </c>
      <c r="M25" s="178">
        <v>4</v>
      </c>
      <c r="N25" s="179">
        <v>1</v>
      </c>
      <c r="O25" s="225"/>
      <c r="P25" s="181"/>
      <c r="Q25" s="174"/>
      <c r="R25" s="174"/>
      <c r="S25" s="175"/>
      <c r="U25" s="182">
        <f>+IFERROR(VLOOKUP(D25,Datos!$R$3:$T$19,3,FALSE), "0")*N25</f>
        <v>0.17798060467769536</v>
      </c>
      <c r="V25" s="183" t="str">
        <f t="shared" si="1"/>
        <v/>
      </c>
      <c r="W25" s="183" t="str">
        <f t="shared" si="2"/>
        <v/>
      </c>
      <c r="X25" s="183" t="str">
        <f t="shared" si="3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/>
      <c r="K26" s="178"/>
      <c r="L26" s="177"/>
      <c r="M26" s="178"/>
      <c r="N26" s="179"/>
      <c r="O26" s="186"/>
      <c r="P26" s="181"/>
      <c r="Q26" s="174"/>
      <c r="R26" s="174"/>
      <c r="S26" s="175"/>
      <c r="U26" s="182">
        <f>+IFERROR(VLOOKUP(D26,Datos!$R$3:$T$19,3,FALSE), "0")*N26</f>
        <v>0</v>
      </c>
      <c r="V26" s="183"/>
      <c r="W26" s="183"/>
      <c r="X26" s="183"/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/>
      <c r="J27" s="175"/>
      <c r="K27" s="178"/>
      <c r="L27" s="177"/>
      <c r="M27" s="178"/>
      <c r="N27" s="179"/>
      <c r="O27" s="186"/>
      <c r="P27" s="181"/>
      <c r="Q27" s="174"/>
      <c r="R27" s="174"/>
      <c r="S27" s="175"/>
      <c r="U27" s="182"/>
      <c r="V27" s="183"/>
      <c r="W27" s="183"/>
      <c r="X27" s="183"/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/>
      <c r="J28" s="175"/>
      <c r="K28" s="178"/>
      <c r="L28" s="177"/>
      <c r="M28" s="178"/>
      <c r="N28" s="179"/>
      <c r="O28" s="186"/>
      <c r="P28" s="181"/>
      <c r="Q28" s="174"/>
      <c r="R28" s="174"/>
      <c r="S28" s="175"/>
      <c r="U28" s="182">
        <f>+IFERROR(VLOOKUP(D28,Datos!$R$3:$T$19,3,FALSE), "0")*N28</f>
        <v>0</v>
      </c>
      <c r="V28" s="183"/>
      <c r="W28" s="183"/>
      <c r="X28" s="183"/>
    </row>
    <row r="29" spans="2:24" ht="38" customHeight="1" x14ac:dyDescent="0.3">
      <c r="B29" s="172"/>
      <c r="C29" s="173"/>
      <c r="D29" s="173"/>
      <c r="E29" s="172"/>
      <c r="F29" s="172"/>
      <c r="G29" s="172"/>
      <c r="H29" s="174"/>
      <c r="I29" s="174"/>
      <c r="J29" s="175"/>
      <c r="K29" s="178"/>
      <c r="L29" s="177"/>
      <c r="M29" s="178"/>
      <c r="N29" s="179"/>
      <c r="O29" s="186"/>
      <c r="P29" s="181"/>
      <c r="Q29" s="174"/>
      <c r="R29" s="174"/>
      <c r="S29" s="175"/>
      <c r="U29" s="182">
        <f>+IFERROR(VLOOKUP(D29,Datos!$R$3:$T$19,3,FALSE), "0")*N29</f>
        <v>0</v>
      </c>
      <c r="V29" s="183"/>
      <c r="W29" s="183"/>
      <c r="X29" s="183"/>
    </row>
    <row r="30" spans="2:24" ht="37.75" customHeight="1" x14ac:dyDescent="0.3">
      <c r="B30" s="172"/>
      <c r="C30" s="173"/>
      <c r="D30" s="173" t="s">
        <v>110</v>
      </c>
      <c r="E30" s="172"/>
      <c r="F30" s="172"/>
      <c r="G30" s="172"/>
      <c r="H30" s="174">
        <v>0.33333333333333331</v>
      </c>
      <c r="I30" s="174">
        <v>0.83333333333333337</v>
      </c>
      <c r="J30" s="175">
        <f>I30-H30</f>
        <v>0.5</v>
      </c>
      <c r="K30" s="178"/>
      <c r="L30" s="177"/>
      <c r="M30" s="178"/>
      <c r="N30" s="179"/>
      <c r="O30" s="186" t="s">
        <v>436</v>
      </c>
      <c r="P30" s="181"/>
      <c r="Q30" s="174"/>
      <c r="R30" s="174"/>
      <c r="S30" s="175"/>
      <c r="U30" s="182">
        <f>+IFERROR(VLOOKUP(D30,Datos!$R$3:$T$19,3,FALSE), "0")*N30</f>
        <v>0</v>
      </c>
      <c r="V30" s="183" t="str">
        <f t="shared" si="1"/>
        <v/>
      </c>
      <c r="W30" s="183" t="str">
        <f t="shared" si="2"/>
        <v/>
      </c>
      <c r="X30" s="183" t="str">
        <f t="shared" si="3"/>
        <v/>
      </c>
    </row>
    <row r="31" spans="2:24" ht="38" customHeight="1" x14ac:dyDescent="0.3">
      <c r="B31" s="172"/>
      <c r="C31" s="173"/>
      <c r="D31" s="173"/>
      <c r="E31" s="172"/>
      <c r="F31" s="172"/>
      <c r="G31" s="172"/>
      <c r="H31" s="174"/>
      <c r="I31" s="174" t="s">
        <v>329</v>
      </c>
      <c r="J31" s="175">
        <f>MOD(I25-H21, 1)</f>
        <v>0.40625000000000006</v>
      </c>
      <c r="K31" s="178"/>
      <c r="L31" s="177"/>
      <c r="M31" s="178"/>
      <c r="N31" s="179"/>
      <c r="O31" s="186"/>
      <c r="P31" s="172"/>
      <c r="Q31" s="172"/>
      <c r="R31" s="172"/>
      <c r="S31" s="175">
        <f t="shared" si="0"/>
        <v>0</v>
      </c>
      <c r="U31" s="182">
        <f>SUM(U21:U30)</f>
        <v>0.31831146605818594</v>
      </c>
      <c r="V31" s="183" t="str">
        <f t="shared" si="1"/>
        <v/>
      </c>
      <c r="W31" s="183" t="str">
        <f t="shared" si="2"/>
        <v/>
      </c>
      <c r="X31" s="183" t="str">
        <f t="shared" si="3"/>
        <v/>
      </c>
    </row>
    <row r="32" spans="2:24" x14ac:dyDescent="0.3">
      <c r="B32" s="185" t="s">
        <v>158</v>
      </c>
      <c r="C32" s="63" t="s">
        <v>194</v>
      </c>
      <c r="D32" s="63"/>
      <c r="E32" s="63"/>
      <c r="F32" s="63"/>
      <c r="G32" s="63"/>
      <c r="H32" s="63"/>
      <c r="I32" s="63"/>
      <c r="J32" s="64"/>
      <c r="K32" s="64"/>
      <c r="L32" s="171"/>
      <c r="M32" s="63"/>
      <c r="N32" s="64"/>
      <c r="O32" s="64"/>
      <c r="P32" s="63"/>
      <c r="Q32" s="63"/>
      <c r="R32" s="63"/>
      <c r="S32" s="64"/>
      <c r="U32" s="63"/>
      <c r="V32" s="64"/>
      <c r="W32" s="64"/>
      <c r="X32" s="64"/>
    </row>
    <row r="33" spans="2:24" ht="52" x14ac:dyDescent="0.3">
      <c r="B33" s="63" t="s">
        <v>3</v>
      </c>
      <c r="C33" s="63" t="s">
        <v>2</v>
      </c>
      <c r="D33" s="63" t="s">
        <v>5</v>
      </c>
      <c r="E33" s="63" t="s">
        <v>22</v>
      </c>
      <c r="F33" s="63" t="s">
        <v>139</v>
      </c>
      <c r="G33" s="63" t="s">
        <v>29</v>
      </c>
      <c r="H33" s="63" t="s">
        <v>121</v>
      </c>
      <c r="I33" s="63" t="s">
        <v>4</v>
      </c>
      <c r="J33" s="64" t="s">
        <v>122</v>
      </c>
      <c r="K33" s="64" t="s">
        <v>131</v>
      </c>
      <c r="L33" s="171" t="s">
        <v>123</v>
      </c>
      <c r="M33" s="63" t="s">
        <v>134</v>
      </c>
      <c r="N33" s="64" t="s">
        <v>24</v>
      </c>
      <c r="O33" s="64" t="s">
        <v>130</v>
      </c>
      <c r="P33" s="63" t="s">
        <v>132</v>
      </c>
      <c r="Q33" s="63" t="s">
        <v>121</v>
      </c>
      <c r="R33" s="63" t="s">
        <v>4</v>
      </c>
      <c r="S33" s="64" t="s">
        <v>137</v>
      </c>
      <c r="U33" s="63" t="s">
        <v>109</v>
      </c>
      <c r="V33" s="64" t="s">
        <v>87</v>
      </c>
      <c r="W33" s="64" t="s">
        <v>128</v>
      </c>
      <c r="X33" s="64" t="s">
        <v>128</v>
      </c>
    </row>
    <row r="34" spans="2:24" ht="38" customHeight="1" x14ac:dyDescent="0.3">
      <c r="B34" s="172">
        <v>3700</v>
      </c>
      <c r="C34" s="173" t="str">
        <f>+Datos!$R$23</f>
        <v>Ciclo Minero 5,2 x 5,6 m
Galería Acceso Portal de Servicio</v>
      </c>
      <c r="D34" s="173" t="s">
        <v>110</v>
      </c>
      <c r="E34" s="172"/>
      <c r="F34" s="172"/>
      <c r="G34" s="172"/>
      <c r="H34" s="174">
        <v>0.33333333333333331</v>
      </c>
      <c r="I34" s="174">
        <v>0.83333333333333337</v>
      </c>
      <c r="J34" s="175">
        <f>I34-H34</f>
        <v>0.5</v>
      </c>
      <c r="K34" s="178"/>
      <c r="L34" s="177"/>
      <c r="M34" s="178"/>
      <c r="N34" s="179">
        <v>1</v>
      </c>
      <c r="O34" s="186" t="s">
        <v>428</v>
      </c>
      <c r="P34" s="225"/>
      <c r="Q34" s="174"/>
      <c r="R34" s="174"/>
      <c r="S34" s="175"/>
      <c r="U34" s="187">
        <f>+IFERROR(VLOOKUP(D34,Datos!$R$24:$T$40,3,FALSE), "0")*N34</f>
        <v>0</v>
      </c>
      <c r="V34" s="183" t="str">
        <f t="shared" ref="V34:V42" si="4">IF(OR(D34="Perforación de Fortificación", D34="Perforación de Avance", D34="Perforación Desquinche"), K34*M34, "")</f>
        <v/>
      </c>
      <c r="W34" s="183" t="str">
        <f>IF(D34="Extracción de Marina Disparo",K34,"")</f>
        <v/>
      </c>
      <c r="X34" s="183" t="str">
        <f t="shared" ref="X34:X42" si="5">IF(OR(D34="Shotcrete", D34="Pre Shotcrete"), K34, "")</f>
        <v/>
      </c>
    </row>
    <row r="35" spans="2:24" ht="38" customHeight="1" x14ac:dyDescent="0.3">
      <c r="B35" s="172">
        <v>3700</v>
      </c>
      <c r="C35" s="173" t="str">
        <f>+Datos!$R$23</f>
        <v>Ciclo Minero 5,2 x 5,6 m
Galería Acceso Portal de Servicio</v>
      </c>
      <c r="D35" s="173"/>
      <c r="E35" s="172"/>
      <c r="F35" s="172"/>
      <c r="G35" s="172"/>
      <c r="H35" s="174"/>
      <c r="I35" s="174"/>
      <c r="J35" s="175"/>
      <c r="K35" s="178"/>
      <c r="L35" s="177"/>
      <c r="M35" s="178"/>
      <c r="N35" s="179"/>
      <c r="O35" s="225"/>
      <c r="P35" s="173"/>
      <c r="Q35" s="174"/>
      <c r="R35" s="174"/>
      <c r="S35" s="175"/>
      <c r="U35" s="187">
        <f>+IFERROR(VLOOKUP(D35,Datos!$R$24:$T$40,3,FALSE), "0")*N35</f>
        <v>0</v>
      </c>
      <c r="V35" s="183" t="str">
        <f t="shared" si="4"/>
        <v/>
      </c>
      <c r="W35" s="183" t="str">
        <f>IF(D35="Extracción de Marina Disparo",K35,"")</f>
        <v/>
      </c>
      <c r="X35" s="183" t="str">
        <f t="shared" si="5"/>
        <v/>
      </c>
    </row>
    <row r="36" spans="2:24" ht="53.4" customHeight="1" x14ac:dyDescent="0.3">
      <c r="B36" s="172">
        <v>3700</v>
      </c>
      <c r="C36" s="173" t="str">
        <f>+C34</f>
        <v>Ciclo Minero 5,2 x 5,6 m
Galería Acceso Portal de Servicio</v>
      </c>
      <c r="D36" s="173"/>
      <c r="E36" s="172"/>
      <c r="F36" s="172"/>
      <c r="G36" s="172"/>
      <c r="H36" s="174"/>
      <c r="I36" s="174"/>
      <c r="J36" s="175"/>
      <c r="K36" s="178"/>
      <c r="L36" s="177"/>
      <c r="M36" s="178"/>
      <c r="N36" s="179"/>
      <c r="O36" s="225"/>
      <c r="P36" s="181"/>
      <c r="Q36" s="174"/>
      <c r="R36" s="174"/>
      <c r="S36" s="175"/>
      <c r="U36" s="187">
        <f>+IFERROR(VLOOKUP(D36,Datos!$R$24:$T$40,3,FALSE), "0")*N36</f>
        <v>0</v>
      </c>
      <c r="V36" s="183" t="str">
        <f t="shared" si="4"/>
        <v/>
      </c>
      <c r="W36" s="183" t="str">
        <f t="shared" ref="W36:W42" si="6">IF(D36="Extracción de Marina Disparo",K36,"")</f>
        <v/>
      </c>
      <c r="X36" s="183" t="str">
        <f t="shared" si="5"/>
        <v/>
      </c>
    </row>
    <row r="37" spans="2:24" ht="38" customHeight="1" x14ac:dyDescent="0.3">
      <c r="B37" s="172">
        <v>3700</v>
      </c>
      <c r="C37" s="173" t="s">
        <v>397</v>
      </c>
      <c r="D37" s="173"/>
      <c r="E37" s="172"/>
      <c r="F37" s="172"/>
      <c r="G37" s="172"/>
      <c r="H37" s="174"/>
      <c r="I37" s="174"/>
      <c r="J37" s="175"/>
      <c r="K37" s="178"/>
      <c r="L37" s="177"/>
      <c r="M37" s="178"/>
      <c r="N37" s="179"/>
      <c r="O37" s="186"/>
      <c r="P37" s="172"/>
      <c r="Q37" s="172"/>
      <c r="R37" s="172"/>
      <c r="S37" s="175"/>
      <c r="U37" s="187">
        <f>+IFERROR(VLOOKUP(D37,Datos!$R$24:$T$40,3,FALSE), "0")*N37</f>
        <v>0</v>
      </c>
      <c r="V37" s="183" t="str">
        <f t="shared" si="4"/>
        <v/>
      </c>
      <c r="W37" s="183" t="str">
        <f t="shared" si="6"/>
        <v/>
      </c>
      <c r="X37" s="183"/>
    </row>
    <row r="38" spans="2:24" ht="38" customHeight="1" x14ac:dyDescent="0.3">
      <c r="B38" s="172">
        <v>3700</v>
      </c>
      <c r="C38" s="173" t="str">
        <f>+C37</f>
        <v>Fróntón Bodega</v>
      </c>
      <c r="D38" s="173"/>
      <c r="E38" s="172"/>
      <c r="F38" s="172"/>
      <c r="G38" s="172"/>
      <c r="H38" s="174"/>
      <c r="I38" s="174"/>
      <c r="J38" s="175"/>
      <c r="K38" s="178"/>
      <c r="L38" s="177"/>
      <c r="M38" s="178"/>
      <c r="N38" s="179"/>
      <c r="O38" s="186"/>
      <c r="P38" s="181"/>
      <c r="Q38" s="174"/>
      <c r="R38" s="174"/>
      <c r="S38" s="175"/>
      <c r="U38" s="187">
        <f>+IFERROR(VLOOKUP(D38,Datos!$R$24:$T$40,3,FALSE), "0")*N38</f>
        <v>0</v>
      </c>
      <c r="V38" s="183" t="str">
        <f t="shared" si="4"/>
        <v/>
      </c>
      <c r="W38" s="183" t="str">
        <f t="shared" si="6"/>
        <v/>
      </c>
      <c r="X38" s="183" t="str">
        <f t="shared" si="5"/>
        <v/>
      </c>
    </row>
    <row r="39" spans="2:24" ht="38" customHeight="1" x14ac:dyDescent="0.3">
      <c r="B39" s="172"/>
      <c r="C39" s="173"/>
      <c r="D39" s="173"/>
      <c r="E39" s="172"/>
      <c r="F39" s="172"/>
      <c r="G39" s="172"/>
      <c r="H39" s="174"/>
      <c r="I39" s="174"/>
      <c r="J39" s="175">
        <f>MOD(I39-H39, 1)</f>
        <v>0</v>
      </c>
      <c r="K39" s="178"/>
      <c r="L39" s="177"/>
      <c r="M39" s="178"/>
      <c r="N39" s="179"/>
      <c r="O39" s="225"/>
      <c r="P39" s="172"/>
      <c r="Q39" s="172"/>
      <c r="R39" s="172"/>
      <c r="S39" s="175">
        <f t="shared" ref="S39:S42" si="7">+MOD(R39-Q39,1)</f>
        <v>0</v>
      </c>
      <c r="U39" s="187">
        <f>+IFERROR(VLOOKUP(D39,Datos!$R$24:$T$40,3,FALSE), "0")*N39</f>
        <v>0</v>
      </c>
      <c r="V39" s="183" t="str">
        <f t="shared" si="4"/>
        <v/>
      </c>
      <c r="W39" s="183" t="str">
        <f t="shared" si="6"/>
        <v/>
      </c>
      <c r="X39" s="183" t="str">
        <f t="shared" si="5"/>
        <v/>
      </c>
    </row>
    <row r="40" spans="2:24" ht="38" customHeight="1" x14ac:dyDescent="0.3">
      <c r="B40" s="172"/>
      <c r="C40" s="173"/>
      <c r="D40" s="173"/>
      <c r="E40" s="172"/>
      <c r="F40" s="172"/>
      <c r="G40" s="172"/>
      <c r="H40" s="174"/>
      <c r="I40" s="174"/>
      <c r="J40" s="175">
        <f>MOD(I40-H40, 1)</f>
        <v>0</v>
      </c>
      <c r="K40" s="178"/>
      <c r="L40" s="177"/>
      <c r="M40" s="178"/>
      <c r="N40" s="179"/>
      <c r="O40" s="186"/>
      <c r="P40" s="172"/>
      <c r="Q40" s="172"/>
      <c r="R40" s="172"/>
      <c r="S40" s="175">
        <f t="shared" si="7"/>
        <v>0</v>
      </c>
      <c r="U40" s="187"/>
      <c r="V40" s="183" t="str">
        <f t="shared" si="4"/>
        <v/>
      </c>
      <c r="W40" s="183" t="str">
        <f t="shared" si="6"/>
        <v/>
      </c>
      <c r="X40" s="183" t="str">
        <f t="shared" si="5"/>
        <v/>
      </c>
    </row>
    <row r="41" spans="2:24" ht="38" customHeight="1" x14ac:dyDescent="0.3">
      <c r="B41" s="172"/>
      <c r="C41" s="173"/>
      <c r="D41" s="173"/>
      <c r="E41" s="172"/>
      <c r="F41" s="172"/>
      <c r="G41" s="172"/>
      <c r="H41" s="174"/>
      <c r="I41" s="174"/>
      <c r="J41" s="175">
        <f>MOD(I41-H41, 1)</f>
        <v>0</v>
      </c>
      <c r="K41" s="178"/>
      <c r="L41" s="177"/>
      <c r="M41" s="178"/>
      <c r="N41" s="179"/>
      <c r="O41" s="186"/>
      <c r="P41" s="172"/>
      <c r="Q41" s="172"/>
      <c r="R41" s="172"/>
      <c r="S41" s="175">
        <f t="shared" si="7"/>
        <v>0</v>
      </c>
      <c r="U41" s="187"/>
      <c r="V41" s="183" t="str">
        <f t="shared" si="4"/>
        <v/>
      </c>
      <c r="W41" s="183" t="str">
        <f t="shared" si="6"/>
        <v/>
      </c>
      <c r="X41" s="183" t="str">
        <f t="shared" si="5"/>
        <v/>
      </c>
    </row>
    <row r="42" spans="2:24" ht="38" customHeight="1" x14ac:dyDescent="0.3">
      <c r="B42" s="172"/>
      <c r="C42" s="173"/>
      <c r="D42" s="173"/>
      <c r="E42" s="172"/>
      <c r="F42" s="172"/>
      <c r="G42" s="172"/>
      <c r="H42" s="174"/>
      <c r="I42" s="174" t="s">
        <v>329</v>
      </c>
      <c r="J42" s="175">
        <v>0</v>
      </c>
      <c r="K42" s="178"/>
      <c r="L42" s="177"/>
      <c r="M42" s="178"/>
      <c r="N42" s="179"/>
      <c r="O42" s="186"/>
      <c r="P42" s="172"/>
      <c r="Q42" s="172"/>
      <c r="R42" s="172"/>
      <c r="S42" s="175">
        <f t="shared" si="7"/>
        <v>0</v>
      </c>
      <c r="U42" s="182">
        <f>SUM(U34:U41)</f>
        <v>0</v>
      </c>
      <c r="V42" s="183" t="str">
        <f t="shared" si="4"/>
        <v/>
      </c>
      <c r="W42" s="183" t="str">
        <f t="shared" si="6"/>
        <v/>
      </c>
      <c r="X42" s="183" t="str">
        <f t="shared" si="5"/>
        <v/>
      </c>
    </row>
    <row r="43" spans="2:24" ht="15.65" customHeight="1" thickBot="1" x14ac:dyDescent="0.35">
      <c r="B43" s="190"/>
      <c r="C43" s="190"/>
      <c r="D43" s="190"/>
      <c r="E43" s="190"/>
      <c r="F43" s="190"/>
      <c r="G43" s="190"/>
      <c r="H43" s="190"/>
      <c r="J43" s="190"/>
      <c r="K43" s="190"/>
      <c r="L43" s="190"/>
      <c r="M43" s="190"/>
      <c r="N43" s="190"/>
      <c r="O43" s="190"/>
      <c r="P43" s="190"/>
      <c r="Q43" s="190"/>
      <c r="R43" s="190"/>
      <c r="S43" s="190"/>
    </row>
    <row r="44" spans="2:24" ht="30" customHeight="1" thickBot="1" x14ac:dyDescent="0.35">
      <c r="B44" s="191"/>
      <c r="C44" s="446" t="s">
        <v>64</v>
      </c>
      <c r="D44" s="446"/>
      <c r="E44" s="192"/>
      <c r="F44" s="192"/>
      <c r="G44" s="431">
        <v>3500</v>
      </c>
      <c r="H44" s="432"/>
      <c r="I44" s="431">
        <v>3700</v>
      </c>
      <c r="J44" s="432"/>
      <c r="K44" s="433" t="s">
        <v>146</v>
      </c>
      <c r="L44" s="434"/>
      <c r="M44" s="190"/>
      <c r="N44" s="190"/>
      <c r="O44" s="190"/>
      <c r="P44" s="190"/>
      <c r="Q44" s="190"/>
      <c r="R44" s="190"/>
      <c r="S44" s="190"/>
    </row>
    <row r="45" spans="2:24" ht="30" customHeight="1" x14ac:dyDescent="0.3">
      <c r="C45" s="194" t="s">
        <v>48</v>
      </c>
      <c r="D45" s="195">
        <f>SUMPRODUCT((LEFT(F21:F39, 1)="C") / (COUNTIF(F21:F39, F21:F39 &amp; "") + (F21:F39="")))</f>
        <v>0</v>
      </c>
      <c r="E45" s="447" t="s">
        <v>90</v>
      </c>
      <c r="F45" s="447"/>
      <c r="G45" s="196">
        <v>0.26041666666666669</v>
      </c>
      <c r="H45" s="197" t="s">
        <v>23</v>
      </c>
      <c r="I45" s="196">
        <v>0.26041666666666669</v>
      </c>
      <c r="J45" s="197" t="s">
        <v>23</v>
      </c>
      <c r="K45" s="198">
        <f>+G45</f>
        <v>0.26041666666666669</v>
      </c>
      <c r="L45" s="197" t="s">
        <v>23</v>
      </c>
      <c r="M45" s="190"/>
      <c r="N45" s="190"/>
      <c r="O45" s="190"/>
      <c r="P45" s="190"/>
      <c r="Q45" s="190"/>
      <c r="R45" s="190"/>
      <c r="S45" s="190"/>
    </row>
    <row r="46" spans="2:24" x14ac:dyDescent="0.3">
      <c r="C46" s="194" t="s">
        <v>49</v>
      </c>
      <c r="D46" s="195">
        <f>SUMPRODUCT((LEFT(F21:F39, 1)="O") / (COUNTIF(F21:F39, F21:F39 &amp; "") + (F21:F39="")))</f>
        <v>0</v>
      </c>
      <c r="E46" s="448" t="s">
        <v>198</v>
      </c>
      <c r="F46" s="448"/>
      <c r="G46" s="199">
        <f>SUM(J21:J30)</f>
        <v>0.86805555555555569</v>
      </c>
      <c r="H46" s="200">
        <f>+G46*24/($G$45*24)</f>
        <v>3.3333333333333339</v>
      </c>
      <c r="I46" s="199">
        <f>SUM(J34:J39)</f>
        <v>0.5</v>
      </c>
      <c r="J46" s="200">
        <f>+I46*24/($I$45*24)</f>
        <v>1.92</v>
      </c>
      <c r="K46" s="201">
        <f>AVERAGE(G46+I46)/2</f>
        <v>0.6840277777777779</v>
      </c>
      <c r="L46" s="200">
        <f>+K46*24/($K$45*24)</f>
        <v>2.6266666666666674</v>
      </c>
      <c r="M46" s="190"/>
      <c r="N46" s="190"/>
      <c r="O46" s="190"/>
      <c r="P46" s="190"/>
      <c r="Q46" s="190"/>
      <c r="R46" s="190"/>
      <c r="S46" s="190"/>
    </row>
    <row r="47" spans="2:24" ht="43.25" customHeight="1" thickBot="1" x14ac:dyDescent="0.35">
      <c r="E47" s="448" t="s">
        <v>94</v>
      </c>
      <c r="F47" s="448"/>
      <c r="G47" s="202"/>
      <c r="H47" s="203">
        <f>+AVERAGE(N21:N31)</f>
        <v>1</v>
      </c>
      <c r="I47" s="202"/>
      <c r="J47" s="203">
        <f>+AVERAGE(N34:N39)</f>
        <v>1</v>
      </c>
      <c r="K47" s="204"/>
      <c r="L47" s="203">
        <f>+AVERAGE(N21:N39)</f>
        <v>1</v>
      </c>
    </row>
    <row r="48" spans="2:24" ht="43.25" customHeight="1" x14ac:dyDescent="0.3">
      <c r="E48" s="205"/>
      <c r="F48" s="205"/>
      <c r="G48" s="206"/>
      <c r="H48" s="206"/>
      <c r="I48" s="137"/>
      <c r="J48" s="137"/>
      <c r="K48" s="137"/>
      <c r="L48" s="137"/>
    </row>
    <row r="49" spans="2:14" ht="43.25" customHeight="1" x14ac:dyDescent="0.3">
      <c r="E49" s="194"/>
      <c r="F49" s="194"/>
      <c r="G49" s="207"/>
      <c r="H49" s="208" t="s">
        <v>24</v>
      </c>
      <c r="I49" s="208" t="s">
        <v>199</v>
      </c>
      <c r="J49" s="208" t="s">
        <v>201</v>
      </c>
      <c r="K49" s="208" t="s">
        <v>404</v>
      </c>
      <c r="L49" s="345" t="s">
        <v>484</v>
      </c>
      <c r="M49" s="345" t="s">
        <v>485</v>
      </c>
      <c r="N49" s="208"/>
    </row>
    <row r="50" spans="2:14" ht="14.5" x14ac:dyDescent="0.35">
      <c r="E50" s="445" t="s">
        <v>174</v>
      </c>
      <c r="F50" s="445"/>
      <c r="G50" s="445"/>
      <c r="H50" s="209">
        <f>+U42</f>
        <v>0</v>
      </c>
      <c r="I50" s="298">
        <f>+H50*$J$50*$K$50</f>
        <v>0</v>
      </c>
      <c r="J50" s="298">
        <v>6.6</v>
      </c>
      <c r="K50" s="246">
        <v>3.42</v>
      </c>
      <c r="L50" s="344">
        <v>56.080975609756102</v>
      </c>
      <c r="M50" s="344">
        <f>+L50*K50*H50</f>
        <v>0</v>
      </c>
    </row>
    <row r="51" spans="2:14" ht="14.4" customHeight="1" x14ac:dyDescent="0.35">
      <c r="E51" s="445" t="s">
        <v>224</v>
      </c>
      <c r="F51" s="445"/>
      <c r="G51" s="445"/>
      <c r="H51" s="209"/>
      <c r="I51" s="298">
        <f>+J51*K51</f>
        <v>0</v>
      </c>
      <c r="J51" s="298">
        <f>1892/1000000</f>
        <v>1.892E-3</v>
      </c>
      <c r="K51" s="246">
        <f>+((15*4.4)*2.72)*0</f>
        <v>0</v>
      </c>
      <c r="L51" s="346">
        <v>1.6919982016368774E-2</v>
      </c>
      <c r="M51" s="344">
        <f>+L51*K51</f>
        <v>0</v>
      </c>
    </row>
    <row r="52" spans="2:14" ht="14.4" customHeight="1" x14ac:dyDescent="0.35">
      <c r="E52" s="445" t="s">
        <v>359</v>
      </c>
      <c r="F52" s="445"/>
      <c r="G52" s="445"/>
      <c r="H52" s="209"/>
      <c r="I52" s="298">
        <f>+J52*K52</f>
        <v>0</v>
      </c>
      <c r="J52" s="298">
        <v>0.340368</v>
      </c>
      <c r="K52" s="246">
        <v>0</v>
      </c>
      <c r="L52" s="346">
        <v>2.2358937544867188</v>
      </c>
      <c r="M52" s="344">
        <f>+L52*K52</f>
        <v>0</v>
      </c>
    </row>
    <row r="53" spans="2:14" ht="14.4" customHeight="1" x14ac:dyDescent="0.35">
      <c r="E53" s="445" t="s">
        <v>376</v>
      </c>
      <c r="F53" s="445"/>
      <c r="G53" s="445"/>
      <c r="H53" s="209">
        <v>0</v>
      </c>
      <c r="I53" s="298">
        <f>+H53*$J$53*$K$53</f>
        <v>0</v>
      </c>
      <c r="J53" s="298">
        <f>23683234/1000000</f>
        <v>23.683233999999999</v>
      </c>
      <c r="K53" s="226">
        <v>0</v>
      </c>
      <c r="L53" s="346">
        <v>254.98967741935485</v>
      </c>
      <c r="M53" s="344">
        <f>+L53*K53*H53</f>
        <v>0</v>
      </c>
    </row>
    <row r="54" spans="2:14" ht="14.4" customHeight="1" x14ac:dyDescent="0.35">
      <c r="E54" s="445" t="s">
        <v>236</v>
      </c>
      <c r="F54" s="445"/>
      <c r="G54" s="445"/>
      <c r="H54" s="209"/>
      <c r="I54" s="298">
        <f>+J54*K54</f>
        <v>0</v>
      </c>
      <c r="J54" s="298">
        <f>25508/1000000</f>
        <v>2.5507999999999999E-2</v>
      </c>
      <c r="K54" s="246">
        <f>7/(0.05)*0</f>
        <v>0</v>
      </c>
      <c r="L54" s="347" t="s">
        <v>486</v>
      </c>
      <c r="M54" s="349"/>
    </row>
    <row r="55" spans="2:14" ht="14.4" customHeight="1" x14ac:dyDescent="0.35">
      <c r="E55" s="445" t="s">
        <v>451</v>
      </c>
      <c r="F55" s="445"/>
      <c r="G55" s="445"/>
      <c r="H55" s="209">
        <v>1</v>
      </c>
      <c r="I55" s="298">
        <f>H55*J55</f>
        <v>7.9892054999999997</v>
      </c>
      <c r="J55" s="298">
        <f>15978411/2000000</f>
        <v>7.9892054999999997</v>
      </c>
      <c r="K55" s="246"/>
      <c r="L55" s="347" t="s">
        <v>486</v>
      </c>
      <c r="M55" s="344"/>
    </row>
    <row r="56" spans="2:14" ht="14.4" customHeight="1" x14ac:dyDescent="0.35">
      <c r="E56" s="445" t="s">
        <v>298</v>
      </c>
      <c r="F56" s="445"/>
      <c r="G56" s="445"/>
      <c r="H56" s="209"/>
      <c r="I56" s="210">
        <f>SUM(I50:I55)</f>
        <v>7.9892054999999997</v>
      </c>
      <c r="J56" s="214"/>
      <c r="K56" s="246"/>
      <c r="L56" s="344"/>
      <c r="M56" s="344"/>
    </row>
    <row r="57" spans="2:14" ht="14.4" customHeight="1" x14ac:dyDescent="0.35">
      <c r="E57" s="227"/>
      <c r="F57" s="227"/>
      <c r="G57" s="227"/>
      <c r="H57" s="209"/>
      <c r="I57" s="210"/>
      <c r="J57" s="214"/>
      <c r="K57" s="246"/>
      <c r="L57" s="344"/>
      <c r="M57" s="344"/>
    </row>
    <row r="58" spans="2:14" ht="14.4" customHeight="1" x14ac:dyDescent="0.35">
      <c r="E58" s="445" t="s">
        <v>175</v>
      </c>
      <c r="F58" s="445"/>
      <c r="G58" s="445"/>
      <c r="H58" s="209">
        <f>+U31</f>
        <v>0.31831146605818594</v>
      </c>
      <c r="I58" s="210">
        <f>+H58*$J$58*$K$58</f>
        <v>12.845777524244152</v>
      </c>
      <c r="J58" s="211">
        <v>11.8</v>
      </c>
      <c r="K58" s="246">
        <v>3.42</v>
      </c>
      <c r="L58" s="344">
        <v>118.52055555555555</v>
      </c>
      <c r="M58" s="344">
        <f>+L58*K58*H58</f>
        <v>129.02446514546489</v>
      </c>
    </row>
    <row r="59" spans="2:14" ht="14.4" customHeight="1" x14ac:dyDescent="0.35">
      <c r="E59" s="445" t="s">
        <v>225</v>
      </c>
      <c r="F59" s="445"/>
      <c r="G59" s="445"/>
      <c r="H59" s="209"/>
      <c r="I59" s="210">
        <f>+J59*K59</f>
        <v>0</v>
      </c>
      <c r="J59" s="296">
        <f>+J51*0</f>
        <v>0</v>
      </c>
      <c r="K59" s="215">
        <f>+((15*2.8)*2.72)*K30</f>
        <v>0</v>
      </c>
      <c r="L59" s="346">
        <v>1.6919982016368774E-2</v>
      </c>
      <c r="M59" s="344">
        <f>+L59*K59</f>
        <v>0</v>
      </c>
    </row>
    <row r="60" spans="2:14" ht="14.4" customHeight="1" x14ac:dyDescent="0.35">
      <c r="E60" s="445" t="s">
        <v>297</v>
      </c>
      <c r="F60" s="445"/>
      <c r="G60" s="445"/>
      <c r="H60" s="209"/>
      <c r="I60" s="210">
        <f>SUM(I58:I59)</f>
        <v>12.845777524244152</v>
      </c>
      <c r="J60" s="214"/>
      <c r="K60" s="246"/>
      <c r="L60" s="347"/>
      <c r="M60" s="349"/>
    </row>
    <row r="61" spans="2:14" ht="14.4" customHeight="1" x14ac:dyDescent="0.3">
      <c r="E61" s="227"/>
      <c r="F61" s="227"/>
      <c r="G61" s="227"/>
      <c r="H61" s="209"/>
      <c r="I61" s="210"/>
      <c r="J61" s="214"/>
      <c r="K61" s="246"/>
      <c r="L61" s="213"/>
      <c r="M61" s="352">
        <f>SUM(M50:M60)</f>
        <v>129.02446514546489</v>
      </c>
    </row>
    <row r="62" spans="2:14" ht="14.4" customHeight="1" x14ac:dyDescent="0.3">
      <c r="L62" s="213"/>
    </row>
    <row r="63" spans="2:14" ht="7.75" customHeight="1" thickBot="1" x14ac:dyDescent="0.35"/>
    <row r="64" spans="2:14" ht="30" customHeight="1" thickBot="1" x14ac:dyDescent="0.35">
      <c r="B64" s="191"/>
      <c r="C64" s="446" t="s">
        <v>88</v>
      </c>
      <c r="D64" s="446"/>
      <c r="E64" s="192"/>
      <c r="F64" s="192"/>
      <c r="G64" s="192"/>
      <c r="H64" s="192"/>
      <c r="I64" s="216"/>
      <c r="J64" s="193"/>
    </row>
    <row r="65" spans="2:10" ht="38" customHeight="1" x14ac:dyDescent="0.3">
      <c r="C65" s="217" t="s">
        <v>89</v>
      </c>
      <c r="D65" s="195">
        <f>SUMPRODUCT((LEFT(G21:G39, 5)="Jumbo") / (COUNTIF(G21:G39, G21:G39 &amp; "") + (G21:G39="")))</f>
        <v>0</v>
      </c>
      <c r="E65" s="447" t="s">
        <v>90</v>
      </c>
      <c r="F65" s="447"/>
      <c r="G65" s="218">
        <v>0.20833333333333334</v>
      </c>
      <c r="I65" s="139"/>
      <c r="J65" s="190"/>
    </row>
    <row r="66" spans="2:10" ht="38" customHeight="1" x14ac:dyDescent="0.3">
      <c r="E66" s="447" t="s">
        <v>93</v>
      </c>
      <c r="F66" s="447"/>
      <c r="G66" s="195">
        <f>15000/(60)</f>
        <v>250</v>
      </c>
      <c r="H66" s="219" t="s">
        <v>143</v>
      </c>
      <c r="I66" s="139"/>
      <c r="J66" s="190"/>
    </row>
    <row r="67" spans="2:10" ht="38" customHeight="1" x14ac:dyDescent="0.3">
      <c r="E67" s="448" t="s">
        <v>91</v>
      </c>
      <c r="F67" s="448"/>
      <c r="G67" s="207" t="e">
        <f>+SUM(SUMIF($G$21:$G$39, "Jumbo*", $J$21:$J$39))/SUMPRODUCT((LEFT(G21:G39, 5)="Jumbo") / (COUNTIF(G21:G39, G21:G39 &amp; "") + (G21:G39="")))</f>
        <v>#DIV/0!</v>
      </c>
      <c r="H67" s="220" t="e">
        <f>+G67*24/($G$65*24)</f>
        <v>#DIV/0!</v>
      </c>
      <c r="I67" s="190"/>
      <c r="J67" s="190"/>
    </row>
    <row r="68" spans="2:10" ht="38" customHeight="1" x14ac:dyDescent="0.3">
      <c r="E68" s="448" t="s">
        <v>92</v>
      </c>
      <c r="F68" s="448"/>
      <c r="G68" s="221" t="e">
        <f>+SUM(V21:V39)/D65</f>
        <v>#DIV/0!</v>
      </c>
      <c r="H68" s="220" t="e">
        <f>+G68/G66</f>
        <v>#DIV/0!</v>
      </c>
      <c r="I68" s="190"/>
      <c r="J68" s="190"/>
    </row>
    <row r="69" spans="2:10" ht="38" customHeight="1" x14ac:dyDescent="0.3">
      <c r="G69" s="222" t="s">
        <v>87</v>
      </c>
      <c r="H69" s="139" t="s">
        <v>23</v>
      </c>
    </row>
    <row r="70" spans="2:10" ht="20" customHeight="1" x14ac:dyDescent="0.3">
      <c r="F70" s="208" t="s">
        <v>65</v>
      </c>
      <c r="G70" s="221">
        <f t="shared" ref="G70:G75" si="8" xml:space="preserve"> SUMIF($G$21:$G$39, +F70,$V$21:$V$39)</f>
        <v>0</v>
      </c>
      <c r="H70" s="220">
        <f t="shared" ref="H70:H75" si="9">+G70/$G$66</f>
        <v>0</v>
      </c>
    </row>
    <row r="71" spans="2:10" ht="20" customHeight="1" x14ac:dyDescent="0.3">
      <c r="F71" s="208" t="s">
        <v>66</v>
      </c>
      <c r="G71" s="221">
        <f t="shared" si="8"/>
        <v>0</v>
      </c>
      <c r="H71" s="220">
        <f t="shared" si="9"/>
        <v>0</v>
      </c>
    </row>
    <row r="72" spans="2:10" ht="20" customHeight="1" x14ac:dyDescent="0.3">
      <c r="F72" s="208" t="s">
        <v>67</v>
      </c>
      <c r="G72" s="221">
        <f t="shared" si="8"/>
        <v>0</v>
      </c>
      <c r="H72" s="220">
        <f t="shared" si="9"/>
        <v>0</v>
      </c>
    </row>
    <row r="73" spans="2:10" ht="20" customHeight="1" x14ac:dyDescent="0.3">
      <c r="F73" s="208" t="s">
        <v>68</v>
      </c>
      <c r="G73" s="221">
        <f t="shared" si="8"/>
        <v>0</v>
      </c>
      <c r="H73" s="220">
        <f t="shared" si="9"/>
        <v>0</v>
      </c>
    </row>
    <row r="74" spans="2:10" ht="20" customHeight="1" x14ac:dyDescent="0.3">
      <c r="F74" s="208" t="s">
        <v>69</v>
      </c>
      <c r="G74" s="221">
        <f t="shared" si="8"/>
        <v>0</v>
      </c>
      <c r="H74" s="220">
        <f t="shared" si="9"/>
        <v>0</v>
      </c>
    </row>
    <row r="75" spans="2:10" ht="20" customHeight="1" x14ac:dyDescent="0.3">
      <c r="F75" s="208" t="s">
        <v>70</v>
      </c>
      <c r="G75" s="221">
        <f t="shared" si="8"/>
        <v>0</v>
      </c>
      <c r="H75" s="220">
        <f t="shared" si="9"/>
        <v>0</v>
      </c>
    </row>
    <row r="76" spans="2:10" ht="20" customHeight="1" x14ac:dyDescent="0.3">
      <c r="F76" s="208" t="s">
        <v>146</v>
      </c>
      <c r="G76" s="223">
        <f>+SUM(G70:G75)</f>
        <v>0</v>
      </c>
      <c r="H76" s="220" t="e">
        <f>+G76/($G$66*$D$65)</f>
        <v>#DIV/0!</v>
      </c>
    </row>
    <row r="77" spans="2:10" ht="13.5" thickBot="1" x14ac:dyDescent="0.35"/>
    <row r="78" spans="2:10" ht="30" customHeight="1" thickBot="1" x14ac:dyDescent="0.35">
      <c r="B78" s="191"/>
      <c r="C78" s="446" t="s">
        <v>107</v>
      </c>
      <c r="D78" s="446"/>
      <c r="E78" s="192"/>
      <c r="F78" s="192"/>
      <c r="G78" s="192"/>
      <c r="H78" s="192"/>
      <c r="I78" s="216"/>
      <c r="J78" s="193"/>
    </row>
    <row r="79" spans="2:10" ht="38" customHeight="1" x14ac:dyDescent="0.3">
      <c r="C79" s="208" t="s">
        <v>95</v>
      </c>
      <c r="D79" s="195">
        <f>SUMPRODUCT((LEFT(G21:G39, 5)="Scoop") / (COUNTIF(G21:G39, G21:G39 &amp; "") + (G21:G39="")))</f>
        <v>0</v>
      </c>
      <c r="E79" s="447" t="s">
        <v>90</v>
      </c>
      <c r="F79" s="447"/>
      <c r="G79" s="218">
        <v>0.20833333333333334</v>
      </c>
      <c r="I79" s="139"/>
      <c r="J79" s="190"/>
    </row>
    <row r="80" spans="2:10" ht="38" customHeight="1" x14ac:dyDescent="0.3">
      <c r="C80" s="208" t="s">
        <v>145</v>
      </c>
      <c r="D80" s="195">
        <v>4.9000000000000004</v>
      </c>
      <c r="E80" s="447" t="s">
        <v>97</v>
      </c>
      <c r="F80" s="447"/>
      <c r="G80" s="195">
        <f>15000/(60)</f>
        <v>250</v>
      </c>
      <c r="H80" s="219" t="s">
        <v>23</v>
      </c>
      <c r="I80" s="139"/>
      <c r="J80" s="190"/>
    </row>
    <row r="81" spans="2:10" ht="38" customHeight="1" x14ac:dyDescent="0.3">
      <c r="E81" s="448" t="s">
        <v>98</v>
      </c>
      <c r="F81" s="448"/>
      <c r="G81" s="207" t="e">
        <f>+SUM(SUMIF($G$21:$G$39, "Scoop*", $J$21:$J$39))/SUMPRODUCT((LEFT(G21:G39, 5)="Scoop") / (COUNTIF(G21:G39, G21:G39 &amp; "") + (G21:G39="")))</f>
        <v>#DIV/0!</v>
      </c>
      <c r="H81" s="220" t="e">
        <f>+G81*24/($G$79*24)</f>
        <v>#DIV/0!</v>
      </c>
      <c r="I81" s="190"/>
      <c r="J81" s="190"/>
    </row>
    <row r="82" spans="2:10" ht="38" customHeight="1" x14ac:dyDescent="0.3">
      <c r="E82" s="448" t="s">
        <v>99</v>
      </c>
      <c r="F82" s="448"/>
      <c r="G82" s="221" t="e">
        <f>+SUM(W21:W39)*D80/D79</f>
        <v>#DIV/0!</v>
      </c>
      <c r="H82" s="220" t="e">
        <f>+G82/G80</f>
        <v>#DIV/0!</v>
      </c>
      <c r="I82" s="190"/>
      <c r="J82" s="190"/>
    </row>
    <row r="83" spans="2:10" ht="38" customHeight="1" x14ac:dyDescent="0.3">
      <c r="G83" s="222" t="s">
        <v>96</v>
      </c>
      <c r="H83" s="139" t="s">
        <v>23</v>
      </c>
    </row>
    <row r="84" spans="2:10" ht="20" customHeight="1" x14ac:dyDescent="0.3">
      <c r="F84" s="208" t="s">
        <v>71</v>
      </c>
      <c r="G84" s="221">
        <f t="shared" ref="G84:G89" si="10" xml:space="preserve"> SUMIF($G$21:$G$39, +F84,$W$21:$W$39)*$D$80</f>
        <v>0</v>
      </c>
      <c r="H84" s="220">
        <f>+G84/$G$80</f>
        <v>0</v>
      </c>
    </row>
    <row r="85" spans="2:10" ht="20" customHeight="1" x14ac:dyDescent="0.3">
      <c r="F85" s="208" t="s">
        <v>72</v>
      </c>
      <c r="G85" s="221">
        <f t="shared" si="10"/>
        <v>0</v>
      </c>
      <c r="H85" s="220">
        <f t="shared" ref="H85:H90" si="11">+G85/$G$80</f>
        <v>0</v>
      </c>
    </row>
    <row r="86" spans="2:10" ht="20" customHeight="1" x14ac:dyDescent="0.3">
      <c r="F86" s="208" t="s">
        <v>73</v>
      </c>
      <c r="G86" s="221">
        <f t="shared" si="10"/>
        <v>0</v>
      </c>
      <c r="H86" s="220">
        <f t="shared" si="11"/>
        <v>0</v>
      </c>
    </row>
    <row r="87" spans="2:10" ht="20" customHeight="1" x14ac:dyDescent="0.3">
      <c r="F87" s="208" t="s">
        <v>74</v>
      </c>
      <c r="G87" s="221">
        <f t="shared" si="10"/>
        <v>0</v>
      </c>
      <c r="H87" s="220">
        <f t="shared" si="11"/>
        <v>0</v>
      </c>
    </row>
    <row r="88" spans="2:10" ht="20" customHeight="1" x14ac:dyDescent="0.3">
      <c r="F88" s="208" t="s">
        <v>75</v>
      </c>
      <c r="G88" s="221">
        <f t="shared" si="10"/>
        <v>0</v>
      </c>
      <c r="H88" s="220">
        <f t="shared" si="11"/>
        <v>0</v>
      </c>
    </row>
    <row r="89" spans="2:10" ht="20" customHeight="1" x14ac:dyDescent="0.3">
      <c r="F89" s="208" t="s">
        <v>76</v>
      </c>
      <c r="G89" s="221">
        <f t="shared" si="10"/>
        <v>0</v>
      </c>
      <c r="H89" s="220">
        <f t="shared" si="11"/>
        <v>0</v>
      </c>
    </row>
    <row r="90" spans="2:10" ht="20" customHeight="1" x14ac:dyDescent="0.3">
      <c r="F90" s="208" t="s">
        <v>146</v>
      </c>
      <c r="G90" s="223">
        <f>+SUM(G84:G89)</f>
        <v>0</v>
      </c>
      <c r="H90" s="220">
        <f t="shared" si="11"/>
        <v>0</v>
      </c>
    </row>
    <row r="91" spans="2:10" ht="13.5" thickBot="1" x14ac:dyDescent="0.35"/>
    <row r="92" spans="2:10" ht="30" customHeight="1" thickBot="1" x14ac:dyDescent="0.35">
      <c r="B92" s="191"/>
      <c r="C92" s="446" t="s">
        <v>149</v>
      </c>
      <c r="D92" s="446"/>
      <c r="E92" s="192"/>
      <c r="F92" s="192"/>
      <c r="G92" s="192"/>
      <c r="H92" s="192"/>
      <c r="I92" s="216"/>
      <c r="J92" s="193"/>
    </row>
    <row r="93" spans="2:10" ht="25.25" customHeight="1" x14ac:dyDescent="0.3">
      <c r="C93" s="208" t="s">
        <v>150</v>
      </c>
      <c r="D93" s="195">
        <f>SUMPRODUCT((LEFT(G21:G39, 8)="Roboshot") / (COUNTIF(G21:G39, G21:G39 &amp; "") + (G21:G39="")))</f>
        <v>0</v>
      </c>
      <c r="E93" s="447" t="s">
        <v>90</v>
      </c>
      <c r="F93" s="447"/>
      <c r="G93" s="218">
        <v>0.20833333333333334</v>
      </c>
    </row>
    <row r="94" spans="2:10" x14ac:dyDescent="0.3">
      <c r="C94" s="208"/>
      <c r="D94" s="195"/>
      <c r="E94" s="447" t="s">
        <v>97</v>
      </c>
      <c r="F94" s="447"/>
      <c r="G94" s="195">
        <v>12</v>
      </c>
      <c r="H94" s="219" t="s">
        <v>23</v>
      </c>
    </row>
    <row r="96" spans="2:10" x14ac:dyDescent="0.3">
      <c r="G96" s="222" t="s">
        <v>96</v>
      </c>
      <c r="H96" s="139" t="s">
        <v>23</v>
      </c>
    </row>
    <row r="97" spans="6:8" x14ac:dyDescent="0.3">
      <c r="F97" s="208" t="s">
        <v>77</v>
      </c>
      <c r="G97" s="221">
        <f xml:space="preserve"> SUMIF($G$21:$G$39, +F97,$X$21:$X$39)</f>
        <v>0</v>
      </c>
      <c r="H97" s="220">
        <f>+G97/$G$94</f>
        <v>0</v>
      </c>
    </row>
    <row r="98" spans="6:8" x14ac:dyDescent="0.3">
      <c r="F98" s="208" t="s">
        <v>78</v>
      </c>
      <c r="G98" s="221">
        <f xml:space="preserve"> SUMIF($G$21:$G$39, +F98,$X$21:$X$39)</f>
        <v>0</v>
      </c>
      <c r="H98" s="220">
        <f t="shared" ref="H98:H99" si="12">+G98/$G$94</f>
        <v>0</v>
      </c>
    </row>
    <row r="99" spans="6:8" x14ac:dyDescent="0.3">
      <c r="F99" s="208" t="s">
        <v>79</v>
      </c>
      <c r="G99" s="221">
        <f xml:space="preserve"> SUMIF($G$21:$G$39, +F99,$X$21:$X$39)</f>
        <v>0</v>
      </c>
      <c r="H99" s="220">
        <f t="shared" si="12"/>
        <v>0</v>
      </c>
    </row>
    <row r="100" spans="6:8" x14ac:dyDescent="0.3">
      <c r="F100" s="208" t="s">
        <v>146</v>
      </c>
      <c r="G100" s="223">
        <f>+SUM(G97:G99)</f>
        <v>0</v>
      </c>
      <c r="H100" s="220">
        <f>+G100/$G$94</f>
        <v>0</v>
      </c>
    </row>
  </sheetData>
  <mergeCells count="41">
    <mergeCell ref="K8:L8"/>
    <mergeCell ref="B1:D4"/>
    <mergeCell ref="E2:R2"/>
    <mergeCell ref="E3:R4"/>
    <mergeCell ref="K6:L6"/>
    <mergeCell ref="K7:L7"/>
    <mergeCell ref="E52:G52"/>
    <mergeCell ref="K9:L9"/>
    <mergeCell ref="K10:L10"/>
    <mergeCell ref="K11:L11"/>
    <mergeCell ref="K12:L12"/>
    <mergeCell ref="B14:S14"/>
    <mergeCell ref="C44:D44"/>
    <mergeCell ref="G44:H44"/>
    <mergeCell ref="I44:J44"/>
    <mergeCell ref="K44:L44"/>
    <mergeCell ref="E45:F45"/>
    <mergeCell ref="E46:F46"/>
    <mergeCell ref="E47:F47"/>
    <mergeCell ref="E50:G50"/>
    <mergeCell ref="E51:G51"/>
    <mergeCell ref="E53:G53"/>
    <mergeCell ref="E54:G54"/>
    <mergeCell ref="E56:G56"/>
    <mergeCell ref="E58:G58"/>
    <mergeCell ref="E59:G59"/>
    <mergeCell ref="C92:D92"/>
    <mergeCell ref="E93:F93"/>
    <mergeCell ref="C64:D64"/>
    <mergeCell ref="E65:F65"/>
    <mergeCell ref="E66:F66"/>
    <mergeCell ref="E67:F67"/>
    <mergeCell ref="E68:F68"/>
    <mergeCell ref="C78:D78"/>
    <mergeCell ref="E94:F94"/>
    <mergeCell ref="E55:G55"/>
    <mergeCell ref="E79:F79"/>
    <mergeCell ref="E80:F80"/>
    <mergeCell ref="E81:F81"/>
    <mergeCell ref="E82:F82"/>
    <mergeCell ref="E60:G60"/>
  </mergeCells>
  <conditionalFormatting sqref="H46:H47 J46:J47">
    <cfRule type="cellIs" dxfId="503" priority="13" operator="greaterThan">
      <formula>0.9</formula>
    </cfRule>
    <cfRule type="cellIs" dxfId="502" priority="14" operator="between">
      <formula>0.81</formula>
      <formula>0.89</formula>
    </cfRule>
    <cfRule type="cellIs" dxfId="501" priority="15" operator="lessThan">
      <formula>0.8</formula>
    </cfRule>
  </conditionalFormatting>
  <conditionalFormatting sqref="H67:H68">
    <cfRule type="cellIs" dxfId="500" priority="16" operator="greaterThan">
      <formula>0.9</formula>
    </cfRule>
    <cfRule type="cellIs" dxfId="499" priority="17" operator="between">
      <formula>0.81</formula>
      <formula>0.89</formula>
    </cfRule>
    <cfRule type="cellIs" dxfId="498" priority="18" operator="lessThan">
      <formula>0.8</formula>
    </cfRule>
  </conditionalFormatting>
  <conditionalFormatting sqref="H70:H76">
    <cfRule type="cellIs" dxfId="497" priority="19" operator="greaterThan">
      <formula>0.9</formula>
    </cfRule>
    <cfRule type="cellIs" dxfId="496" priority="20" operator="between">
      <formula>0.81</formula>
      <formula>0.89</formula>
    </cfRule>
    <cfRule type="cellIs" dxfId="495" priority="21" operator="lessThan">
      <formula>0.8</formula>
    </cfRule>
  </conditionalFormatting>
  <conditionalFormatting sqref="H81:H82">
    <cfRule type="cellIs" dxfId="494" priority="7" operator="greaterThan">
      <formula>0.9</formula>
    </cfRule>
    <cfRule type="cellIs" dxfId="493" priority="8" operator="between">
      <formula>0.81</formula>
      <formula>0.89</formula>
    </cfRule>
    <cfRule type="cellIs" dxfId="492" priority="9" operator="lessThan">
      <formula>0.8</formula>
    </cfRule>
  </conditionalFormatting>
  <conditionalFormatting sqref="H84:H90">
    <cfRule type="cellIs" dxfId="491" priority="10" operator="greaterThan">
      <formula>0.9</formula>
    </cfRule>
    <cfRule type="cellIs" dxfId="490" priority="11" operator="between">
      <formula>0.81</formula>
      <formula>0.89</formula>
    </cfRule>
    <cfRule type="cellIs" dxfId="489" priority="12" operator="lessThan">
      <formula>0.8</formula>
    </cfRule>
  </conditionalFormatting>
  <conditionalFormatting sqref="H97:H100">
    <cfRule type="cellIs" dxfId="488" priority="4" operator="greaterThan">
      <formula>0.9</formula>
    </cfRule>
    <cfRule type="cellIs" dxfId="487" priority="5" operator="between">
      <formula>0.81</formula>
      <formula>0.89</formula>
    </cfRule>
    <cfRule type="cellIs" dxfId="486" priority="6" operator="lessThan">
      <formula>0.8</formula>
    </cfRule>
  </conditionalFormatting>
  <conditionalFormatting sqref="L46:L47">
    <cfRule type="cellIs" dxfId="485" priority="1" operator="greaterThan">
      <formula>0.9</formula>
    </cfRule>
    <cfRule type="cellIs" dxfId="484" priority="2" operator="between">
      <formula>0.81</formula>
      <formula>0.89</formula>
    </cfRule>
    <cfRule type="cellIs" dxfId="483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6A0D075-61C3-4539-9349-B11D4FC0FE04}">
          <x14:formula1>
            <xm:f>Datos!$B$3:$B$8</xm:f>
          </x14:formula1>
          <xm:sqref>E34:E42 E21:E31</xm:sqref>
        </x14:dataValidation>
        <x14:dataValidation type="list" allowBlank="1" showInputMessage="1" showErrorMessage="1" xr:uid="{93540D0D-51EA-4797-A23D-B19C361EE928}">
          <x14:formula1>
            <xm:f>Datos!$D$3:$D$27</xm:f>
          </x14:formula1>
          <xm:sqref>F34:F42 F21:F31</xm:sqref>
        </x14:dataValidation>
        <x14:dataValidation type="list" allowBlank="1" showInputMessage="1" showErrorMessage="1" xr:uid="{104E091E-B697-4F06-B46B-607092EA9C77}">
          <x14:formula1>
            <xm:f>Datos!$W$3:$W$12</xm:f>
          </x14:formula1>
          <xm:sqref>L34:L42 L21:L31</xm:sqref>
        </x14:dataValidation>
        <x14:dataValidation type="list" allowBlank="1" showInputMessage="1" showErrorMessage="1" xr:uid="{4EC8153E-E33F-48F9-9F16-1DBD10111310}">
          <x14:formula1>
            <xm:f>Datos!$F$3:$F$41</xm:f>
          </x14:formula1>
          <xm:sqref>G34:G42 G21:G31</xm:sqref>
        </x14:dataValidation>
        <x14:dataValidation type="list" allowBlank="1" showInputMessage="1" showErrorMessage="1" xr:uid="{DF0CE0AF-DCDA-4F7C-B0AE-7A3E21D172F3}">
          <x14:formula1>
            <xm:f>Datos!$H$3:$H$26</xm:f>
          </x14:formula1>
          <xm:sqref>D31 D42</xm:sqref>
        </x14:dataValidation>
        <x14:dataValidation type="list" allowBlank="1" showInputMessage="1" showErrorMessage="1" xr:uid="{17203911-F5E8-4CFC-89C3-96FC885EDA69}">
          <x14:formula1>
            <xm:f>Datos!$H$3:$H$34</xm:f>
          </x14:formula1>
          <xm:sqref>D34:D41 D21:D30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A4FA-C3F9-4C19-B4B8-75576F267B93}">
  <sheetPr>
    <pageSetUpPr fitToPage="1"/>
  </sheetPr>
  <dimension ref="B1:X96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E54" sqref="E54:G56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1.0069444444444446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+G72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+G86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+G96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110</v>
      </c>
      <c r="E21" s="172"/>
      <c r="F21" s="172"/>
      <c r="G21" s="172"/>
      <c r="H21" s="174">
        <v>0.82291666666666663</v>
      </c>
      <c r="I21" s="174">
        <v>0.90625</v>
      </c>
      <c r="J21" s="175">
        <f>I21-H21</f>
        <v>8.333333333333337E-2</v>
      </c>
      <c r="K21" s="178"/>
      <c r="L21" s="177"/>
      <c r="M21" s="178"/>
      <c r="N21" s="179">
        <v>1</v>
      </c>
      <c r="O21" s="186" t="s">
        <v>448</v>
      </c>
      <c r="P21" s="181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110</v>
      </c>
      <c r="E22" s="172"/>
      <c r="F22" s="172"/>
      <c r="G22" s="172"/>
      <c r="H22" s="174">
        <v>0.91666666666666663</v>
      </c>
      <c r="I22" s="174">
        <v>0.95833333333333337</v>
      </c>
      <c r="J22" s="175">
        <f>I22-H22</f>
        <v>4.1666666666666741E-2</v>
      </c>
      <c r="K22" s="178"/>
      <c r="L22" s="177"/>
      <c r="M22" s="178"/>
      <c r="N22" s="179">
        <v>1</v>
      </c>
      <c r="O22" s="225" t="s">
        <v>449</v>
      </c>
      <c r="P22" s="181"/>
      <c r="Q22" s="174"/>
      <c r="R22" s="172"/>
      <c r="S22" s="175">
        <f t="shared" ref="S22:S27" si="0">+MOD(R22-Q22,1)</f>
        <v>0</v>
      </c>
      <c r="U22" s="182">
        <f>+IFERROR(VLOOKUP(D22,Datos!$R$3:$T$19,3,FALSE), "0")*N22</f>
        <v>0</v>
      </c>
      <c r="V22" s="183" t="str">
        <f t="shared" ref="V22:V27" si="1">IF(OR(D22="Perforación de Fortificación", D22="Perforación de Avance", D22="Perforación Desquinche"), K22*M22, "")</f>
        <v/>
      </c>
      <c r="W22" s="183" t="str">
        <f t="shared" ref="W22:W27" si="2">IF(D22="Extracción de Marina Disparo",K22,"")</f>
        <v/>
      </c>
      <c r="X22" s="183" t="str">
        <f t="shared" ref="X22:X27" si="3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172</v>
      </c>
      <c r="E23" s="172"/>
      <c r="F23" s="172"/>
      <c r="G23" s="172"/>
      <c r="H23" s="174">
        <v>0.90625</v>
      </c>
      <c r="I23" s="174">
        <v>1</v>
      </c>
      <c r="J23" s="175">
        <f>I23-H23</f>
        <v>9.375E-2</v>
      </c>
      <c r="K23" s="178"/>
      <c r="L23" s="177"/>
      <c r="M23" s="178"/>
      <c r="N23" s="179">
        <v>1</v>
      </c>
      <c r="O23" s="186"/>
      <c r="P23" s="181"/>
      <c r="Q23" s="174"/>
      <c r="R23" s="172"/>
      <c r="S23" s="175">
        <f t="shared" si="0"/>
        <v>0</v>
      </c>
      <c r="U23" s="182">
        <f>+IFERROR(VLOOKUP(D23,Datos!$R$3:$T$19,3,FALSE), "0")*N23</f>
        <v>0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52</v>
      </c>
      <c r="E24" s="172"/>
      <c r="F24" s="172"/>
      <c r="G24" s="172"/>
      <c r="H24" s="174">
        <v>0.94097222222222221</v>
      </c>
      <c r="I24" s="174">
        <v>1.2291666666666667</v>
      </c>
      <c r="J24" s="175">
        <f>I24-H24</f>
        <v>0.28819444444444453</v>
      </c>
      <c r="K24" s="178">
        <v>63</v>
      </c>
      <c r="L24" s="177" t="s">
        <v>126</v>
      </c>
      <c r="M24" s="178"/>
      <c r="N24" s="179">
        <v>1</v>
      </c>
      <c r="O24" s="186"/>
      <c r="P24" s="181" t="s">
        <v>171</v>
      </c>
      <c r="Q24" s="174">
        <v>1.0833333333333333</v>
      </c>
      <c r="R24" s="174">
        <v>1.1423611111111112</v>
      </c>
      <c r="S24" s="175">
        <f>R24-Q24</f>
        <v>5.9027777777777901E-2</v>
      </c>
      <c r="U24" s="182">
        <f>+IFERROR(VLOOKUP(D24,Datos!$R$3:$T$19,3,FALSE), "0")*N24</f>
        <v>6.8454078722190517E-2</v>
      </c>
      <c r="V24" s="183" t="str">
        <f t="shared" si="1"/>
        <v/>
      </c>
      <c r="W24" s="183" t="str">
        <f t="shared" si="2"/>
        <v/>
      </c>
      <c r="X24" s="183" t="str">
        <f t="shared" si="3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186"/>
      <c r="P25" s="181"/>
      <c r="Q25" s="174"/>
      <c r="R25" s="174"/>
      <c r="S25" s="175"/>
      <c r="U25" s="182">
        <f>+IFERROR(VLOOKUP(D25,Datos!$R$3:$T$19,3,FALSE), "0")*N25</f>
        <v>0</v>
      </c>
      <c r="V25" s="183"/>
      <c r="W25" s="183"/>
      <c r="X25" s="183"/>
    </row>
    <row r="26" spans="2:24" ht="37.75" customHeight="1" x14ac:dyDescent="0.3">
      <c r="B26" s="172"/>
      <c r="C26" s="173"/>
      <c r="D26" s="173" t="s">
        <v>110</v>
      </c>
      <c r="E26" s="172"/>
      <c r="F26" s="172"/>
      <c r="G26" s="172"/>
      <c r="H26" s="174">
        <v>0.83333333333333337</v>
      </c>
      <c r="I26" s="174">
        <v>1.3333333333333333</v>
      </c>
      <c r="J26" s="175">
        <f>I26-H26</f>
        <v>0.49999999999999989</v>
      </c>
      <c r="K26" s="178"/>
      <c r="L26" s="177"/>
      <c r="M26" s="178"/>
      <c r="N26" s="179"/>
      <c r="O26" s="186" t="s">
        <v>436</v>
      </c>
      <c r="P26" s="181"/>
      <c r="Q26" s="174"/>
      <c r="R26" s="174"/>
      <c r="S26" s="175"/>
      <c r="U26" s="182">
        <f>+IFERROR(VLOOKUP(D26,Datos!$R$3:$T$19,3,FALSE), "0")*N26</f>
        <v>0</v>
      </c>
      <c r="V26" s="183" t="str">
        <f t="shared" si="1"/>
        <v/>
      </c>
      <c r="W26" s="183" t="str">
        <f t="shared" si="2"/>
        <v/>
      </c>
      <c r="X26" s="183" t="str">
        <f t="shared" si="3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MOD(I24-H21, 1)</f>
        <v>0.40625000000000011</v>
      </c>
      <c r="K27" s="178"/>
      <c r="L27" s="177"/>
      <c r="M27" s="178"/>
      <c r="N27" s="179"/>
      <c r="O27" s="186"/>
      <c r="P27" s="172"/>
      <c r="Q27" s="172"/>
      <c r="R27" s="172"/>
      <c r="S27" s="175">
        <f t="shared" si="0"/>
        <v>0</v>
      </c>
      <c r="U27" s="182">
        <f>SUM(U21:U26)</f>
        <v>6.8454078722190517E-2</v>
      </c>
      <c r="V27" s="183" t="str">
        <f t="shared" si="1"/>
        <v/>
      </c>
      <c r="W27" s="183" t="str">
        <f t="shared" si="2"/>
        <v/>
      </c>
      <c r="X27" s="183" t="str">
        <f t="shared" si="3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 t="s">
        <v>110</v>
      </c>
      <c r="E30" s="172"/>
      <c r="F30" s="172"/>
      <c r="G30" s="172"/>
      <c r="H30" s="174">
        <v>0.83333333333333337</v>
      </c>
      <c r="I30" s="174">
        <v>1.3333333333333333</v>
      </c>
      <c r="J30" s="175">
        <f>I30-H30</f>
        <v>0.49999999999999989</v>
      </c>
      <c r="K30" s="178"/>
      <c r="L30" s="177"/>
      <c r="M30" s="178"/>
      <c r="N30" s="179">
        <v>1</v>
      </c>
      <c r="O30" s="186" t="s">
        <v>428</v>
      </c>
      <c r="P30" s="225"/>
      <c r="Q30" s="174"/>
      <c r="R30" s="174"/>
      <c r="S30" s="175"/>
      <c r="U30" s="187">
        <f>+IFERROR(VLOOKUP(D30,Datos!$R$24:$T$40,3,FALSE), "0")*N30</f>
        <v>0</v>
      </c>
      <c r="V30" s="183" t="str">
        <f t="shared" ref="V30:V38" si="4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8" si="5">IF(OR(D30="Shotcrete", D30="Pre Shotcrete"), K30, "")</f>
        <v/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73"/>
      <c r="Q31" s="174"/>
      <c r="R31" s="174"/>
      <c r="S31" s="175"/>
      <c r="U31" s="187">
        <f>+IFERROR(VLOOKUP(D31,Datos!$R$24:$T$40,3,FALSE), "0")*N31</f>
        <v>0</v>
      </c>
      <c r="V31" s="183" t="str">
        <f t="shared" si="4"/>
        <v/>
      </c>
      <c r="W31" s="183" t="str">
        <f>IF(D31="Extracción de Marina Disparo",K31,"")</f>
        <v/>
      </c>
      <c r="X31" s="183" t="str">
        <f t="shared" si="5"/>
        <v/>
      </c>
    </row>
    <row r="32" spans="2:24" ht="53.4" customHeight="1" x14ac:dyDescent="0.3">
      <c r="B32" s="172">
        <v>3700</v>
      </c>
      <c r="C32" s="173" t="str">
        <f>+C30</f>
        <v>Ciclo Minero 5,2 x 5,6 m
Galería Acceso Portal de Servicio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225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4"/>
        <v/>
      </c>
      <c r="W32" s="183" t="str">
        <f t="shared" ref="W32:W38" si="6">IF(D32="Extracción de Marina Disparo",K32,"")</f>
        <v/>
      </c>
      <c r="X32" s="183" t="str">
        <f t="shared" si="5"/>
        <v/>
      </c>
    </row>
    <row r="33" spans="2:24" ht="38" customHeight="1" x14ac:dyDescent="0.3">
      <c r="B33" s="172">
        <v>3700</v>
      </c>
      <c r="C33" s="173" t="s">
        <v>397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72"/>
      <c r="Q33" s="172"/>
      <c r="R33" s="172"/>
      <c r="S33" s="175"/>
      <c r="U33" s="187">
        <f>+IFERROR(VLOOKUP(D33,Datos!$R$24:$T$40,3,FALSE), "0")*N33</f>
        <v>0</v>
      </c>
      <c r="V33" s="183" t="str">
        <f t="shared" si="4"/>
        <v/>
      </c>
      <c r="W33" s="183" t="str">
        <f t="shared" si="6"/>
        <v/>
      </c>
      <c r="X33" s="183"/>
    </row>
    <row r="34" spans="2:24" ht="38" customHeight="1" x14ac:dyDescent="0.3">
      <c r="B34" s="172">
        <v>3700</v>
      </c>
      <c r="C34" s="173" t="str">
        <f>+C33</f>
        <v>Fróntón Bodega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6"/>
      <c r="P34" s="181"/>
      <c r="Q34" s="174"/>
      <c r="R34" s="174"/>
      <c r="S34" s="175"/>
      <c r="U34" s="187">
        <f>+IFERROR(VLOOKUP(D34,Datos!$R$24:$T$40,3,FALSE), "0")*N34</f>
        <v>0</v>
      </c>
      <c r="V34" s="183" t="str">
        <f t="shared" si="4"/>
        <v/>
      </c>
      <c r="W34" s="183" t="str">
        <f t="shared" si="6"/>
        <v/>
      </c>
      <c r="X34" s="183" t="str">
        <f t="shared" si="5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225"/>
      <c r="P35" s="172"/>
      <c r="Q35" s="172"/>
      <c r="R35" s="172"/>
      <c r="S35" s="175">
        <f t="shared" ref="S35:S38" si="7">+MOD(R35-Q35,1)</f>
        <v>0</v>
      </c>
      <c r="U35" s="187">
        <f>+IFERROR(VLOOKUP(D35,Datos!$R$24:$T$40,3,FALSE), "0")*N35</f>
        <v>0</v>
      </c>
      <c r="V35" s="183" t="str">
        <f t="shared" si="4"/>
        <v/>
      </c>
      <c r="W35" s="183" t="str">
        <f t="shared" si="6"/>
        <v/>
      </c>
      <c r="X35" s="183" t="str">
        <f t="shared" si="5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7"/>
        <v>0</v>
      </c>
      <c r="U36" s="187"/>
      <c r="V36" s="183" t="str">
        <f t="shared" si="4"/>
        <v/>
      </c>
      <c r="W36" s="183" t="str">
        <f t="shared" si="6"/>
        <v/>
      </c>
      <c r="X36" s="183" t="str">
        <f t="shared" si="5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7"/>
        <v>0</v>
      </c>
      <c r="U37" s="187"/>
      <c r="V37" s="183" t="str">
        <f t="shared" si="4"/>
        <v/>
      </c>
      <c r="W37" s="183" t="str">
        <f t="shared" si="6"/>
        <v/>
      </c>
      <c r="X37" s="183" t="str">
        <f t="shared" si="5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 t="s">
        <v>329</v>
      </c>
      <c r="J38" s="175">
        <v>0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7"/>
        <v>0</v>
      </c>
      <c r="U38" s="182">
        <f>SUM(U30:U37)</f>
        <v>0</v>
      </c>
      <c r="V38" s="183" t="str">
        <f t="shared" si="4"/>
        <v/>
      </c>
      <c r="W38" s="183" t="str">
        <f t="shared" si="6"/>
        <v/>
      </c>
      <c r="X38" s="183" t="str">
        <f t="shared" si="5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SUMPRODUCT((LEFT(F21:F35, 1)="C") / (COUNTIF(F21:F35, F21:F35 &amp; "") + (F21:F35="")))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SUMPRODUCT((LEFT(F21:F35, 1)="O") / (COUNTIF(F21:F35, F21:F35 &amp; "") + (F21:F35="")))</f>
        <v>0</v>
      </c>
      <c r="E42" s="448" t="s">
        <v>198</v>
      </c>
      <c r="F42" s="448"/>
      <c r="G42" s="199">
        <f>SUM(J21:J26)</f>
        <v>1.0069444444444446</v>
      </c>
      <c r="H42" s="200">
        <f>+G42*24/($G$41*24)</f>
        <v>3.8666666666666676</v>
      </c>
      <c r="I42" s="199">
        <f>SUM(J30:J35)</f>
        <v>0.49999999999999989</v>
      </c>
      <c r="J42" s="200">
        <f>+I42*24/($I$41*24)</f>
        <v>1.9199999999999995</v>
      </c>
      <c r="K42" s="201">
        <f>AVERAGE(G42+I42)/2</f>
        <v>0.75347222222222232</v>
      </c>
      <c r="L42" s="200">
        <f>+K42*24/($K$41*24)</f>
        <v>2.8933333333333335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+AVERAGE(N21:N27)</f>
        <v>1</v>
      </c>
      <c r="I43" s="202"/>
      <c r="J43" s="203">
        <f>+AVERAGE(N30:N35)</f>
        <v>1</v>
      </c>
      <c r="K43" s="204"/>
      <c r="L43" s="203">
        <f>+AVERAGE(N21:N35)</f>
        <v>1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404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+U38</f>
        <v>0</v>
      </c>
      <c r="I46" s="298">
        <f>+H46*$J$46*$K$46</f>
        <v>0</v>
      </c>
      <c r="J46" s="298">
        <v>6.6</v>
      </c>
      <c r="K46" s="246">
        <v>3.42</v>
      </c>
      <c r="L46" s="344">
        <v>56.080975609756102</v>
      </c>
      <c r="M46" s="344">
        <f>+L46*K46*H46</f>
        <v>0</v>
      </c>
    </row>
    <row r="47" spans="2:24" ht="14.4" customHeight="1" x14ac:dyDescent="0.35">
      <c r="E47" s="445" t="s">
        <v>224</v>
      </c>
      <c r="F47" s="445"/>
      <c r="G47" s="445"/>
      <c r="H47" s="209"/>
      <c r="I47" s="298">
        <f>+J47*K47</f>
        <v>0</v>
      </c>
      <c r="J47" s="298">
        <f>1892/1000000</f>
        <v>1.892E-3</v>
      </c>
      <c r="K47" s="246">
        <f>+((15*4.4)*2.72)*0</f>
        <v>0</v>
      </c>
      <c r="L47" s="346">
        <v>1.6919982016368774E-2</v>
      </c>
      <c r="M47" s="344">
        <f>+L47*K47</f>
        <v>0</v>
      </c>
    </row>
    <row r="48" spans="2:24" ht="14.4" customHeight="1" x14ac:dyDescent="0.35">
      <c r="E48" s="445" t="s">
        <v>359</v>
      </c>
      <c r="F48" s="445"/>
      <c r="G48" s="445"/>
      <c r="H48" s="209"/>
      <c r="I48" s="298">
        <f>+J48*K48</f>
        <v>0</v>
      </c>
      <c r="J48" s="298">
        <v>0.340368</v>
      </c>
      <c r="K48" s="246">
        <v>0</v>
      </c>
      <c r="L48" s="346">
        <v>2.2358937544867188</v>
      </c>
      <c r="M48" s="344">
        <f>+L48*K48</f>
        <v>0</v>
      </c>
    </row>
    <row r="49" spans="2:13" ht="14.4" customHeight="1" x14ac:dyDescent="0.35">
      <c r="E49" s="445" t="s">
        <v>376</v>
      </c>
      <c r="F49" s="445"/>
      <c r="G49" s="445"/>
      <c r="H49" s="209">
        <v>0</v>
      </c>
      <c r="I49" s="298">
        <f>+H49*$J$49*$K$49</f>
        <v>0</v>
      </c>
      <c r="J49" s="298">
        <f>23683234/1000000</f>
        <v>23.683233999999999</v>
      </c>
      <c r="K49" s="226">
        <v>0</v>
      </c>
      <c r="L49" s="346">
        <v>254.98967741935485</v>
      </c>
      <c r="M49" s="344">
        <f>+L49*K49*H49</f>
        <v>0</v>
      </c>
    </row>
    <row r="50" spans="2:13" ht="14.4" customHeight="1" x14ac:dyDescent="0.35">
      <c r="E50" s="445" t="s">
        <v>236</v>
      </c>
      <c r="F50" s="445"/>
      <c r="G50" s="445"/>
      <c r="H50" s="209"/>
      <c r="I50" s="298">
        <f>+J50*K50</f>
        <v>0</v>
      </c>
      <c r="J50" s="298">
        <f>25508/1000000</f>
        <v>2.5507999999999999E-2</v>
      </c>
      <c r="K50" s="246">
        <f>7/(0.05)*0</f>
        <v>0</v>
      </c>
      <c r="L50" s="347" t="s">
        <v>486</v>
      </c>
      <c r="M50" s="349"/>
    </row>
    <row r="51" spans="2:13" ht="14.4" customHeight="1" x14ac:dyDescent="0.35">
      <c r="E51" s="445" t="s">
        <v>451</v>
      </c>
      <c r="F51" s="445"/>
      <c r="G51" s="445"/>
      <c r="H51" s="209">
        <v>1</v>
      </c>
      <c r="I51" s="298">
        <f>H51*J51</f>
        <v>7.9892054999999997</v>
      </c>
      <c r="J51" s="298">
        <f>15978411/2000000</f>
        <v>7.9892054999999997</v>
      </c>
      <c r="K51" s="246"/>
      <c r="L51" s="347" t="s">
        <v>486</v>
      </c>
      <c r="M51" s="344"/>
    </row>
    <row r="52" spans="2:13" ht="14.4" customHeight="1" x14ac:dyDescent="0.35">
      <c r="E52" s="445" t="s">
        <v>298</v>
      </c>
      <c r="F52" s="445"/>
      <c r="G52" s="445"/>
      <c r="H52" s="209"/>
      <c r="I52" s="210">
        <f>SUM(I46:I51)</f>
        <v>7.9892054999999997</v>
      </c>
      <c r="J52" s="214"/>
      <c r="K52" s="246"/>
      <c r="L52" s="344"/>
      <c r="M52" s="344"/>
    </row>
    <row r="53" spans="2:13" ht="14.4" customHeight="1" x14ac:dyDescent="0.35">
      <c r="E53" s="227"/>
      <c r="F53" s="227"/>
      <c r="G53" s="227"/>
      <c r="H53" s="209"/>
      <c r="I53" s="210"/>
      <c r="J53" s="214"/>
      <c r="K53" s="246"/>
      <c r="L53" s="344"/>
      <c r="M53" s="344"/>
    </row>
    <row r="54" spans="2:13" ht="14.4" customHeight="1" x14ac:dyDescent="0.35">
      <c r="E54" s="445" t="s">
        <v>175</v>
      </c>
      <c r="F54" s="445"/>
      <c r="G54" s="445"/>
      <c r="H54" s="209">
        <f>+U27</f>
        <v>6.8454078722190517E-2</v>
      </c>
      <c r="I54" s="210">
        <f>+H54*$J$54*$K$54</f>
        <v>2.7625328009127208</v>
      </c>
      <c r="J54" s="211">
        <v>11.8</v>
      </c>
      <c r="K54" s="246">
        <v>3.42</v>
      </c>
      <c r="L54" s="344">
        <v>118.52055555555555</v>
      </c>
      <c r="M54" s="344">
        <f>+L54*K54*H54</f>
        <v>27.747196805476317</v>
      </c>
    </row>
    <row r="55" spans="2:13" ht="14.4" customHeight="1" x14ac:dyDescent="0.35">
      <c r="E55" s="445" t="s">
        <v>225</v>
      </c>
      <c r="F55" s="445"/>
      <c r="G55" s="445"/>
      <c r="H55" s="209"/>
      <c r="I55" s="210">
        <f>+J55*K55</f>
        <v>0</v>
      </c>
      <c r="J55" s="296">
        <f>+J47*0</f>
        <v>0</v>
      </c>
      <c r="K55" s="215">
        <f>+((15*2.8)*2.72)*K26</f>
        <v>0</v>
      </c>
      <c r="L55" s="346">
        <v>1.6919982016368774E-2</v>
      </c>
      <c r="M55" s="344">
        <f>+L55*K55</f>
        <v>0</v>
      </c>
    </row>
    <row r="56" spans="2:13" ht="14.4" customHeight="1" x14ac:dyDescent="0.35">
      <c r="E56" s="445" t="s">
        <v>297</v>
      </c>
      <c r="F56" s="445"/>
      <c r="G56" s="445"/>
      <c r="H56" s="209"/>
      <c r="I56" s="210">
        <f>SUM(I54:I55)</f>
        <v>2.7625328009127208</v>
      </c>
      <c r="J56" s="214"/>
      <c r="K56" s="246"/>
      <c r="L56" s="347"/>
      <c r="M56" s="349"/>
    </row>
    <row r="57" spans="2:13" ht="14.4" customHeight="1" x14ac:dyDescent="0.3">
      <c r="E57" s="227"/>
      <c r="F57" s="227"/>
      <c r="G57" s="227"/>
      <c r="H57" s="209"/>
      <c r="I57" s="210"/>
      <c r="J57" s="214"/>
      <c r="K57" s="246"/>
      <c r="L57" s="213"/>
      <c r="M57" s="352">
        <f>SUM(M46:M56)</f>
        <v>27.747196805476317</v>
      </c>
    </row>
    <row r="58" spans="2:13" ht="14.4" customHeight="1" x14ac:dyDescent="0.3">
      <c r="L58" s="213"/>
    </row>
    <row r="59" spans="2:13" ht="7.75" customHeight="1" thickBot="1" x14ac:dyDescent="0.35"/>
    <row r="60" spans="2:13" ht="30" customHeight="1" thickBot="1" x14ac:dyDescent="0.35">
      <c r="B60" s="191"/>
      <c r="C60" s="446" t="s">
        <v>88</v>
      </c>
      <c r="D60" s="446"/>
      <c r="E60" s="192"/>
      <c r="F60" s="192"/>
      <c r="G60" s="192"/>
      <c r="H60" s="192"/>
      <c r="I60" s="216"/>
      <c r="J60" s="193"/>
    </row>
    <row r="61" spans="2:13" ht="38" customHeight="1" x14ac:dyDescent="0.3">
      <c r="C61" s="217" t="s">
        <v>89</v>
      </c>
      <c r="D61" s="195">
        <f>SUMPRODUCT((LEFT(G21:G35, 5)="Jumbo") / (COUNTIF(G21:G35, G21:G35 &amp; "") + (G21:G35="")))</f>
        <v>0</v>
      </c>
      <c r="E61" s="447" t="s">
        <v>90</v>
      </c>
      <c r="F61" s="447"/>
      <c r="G61" s="218">
        <v>0.20833333333333334</v>
      </c>
      <c r="I61" s="139"/>
      <c r="J61" s="190"/>
    </row>
    <row r="62" spans="2:13" ht="38" customHeight="1" x14ac:dyDescent="0.3">
      <c r="E62" s="447" t="s">
        <v>93</v>
      </c>
      <c r="F62" s="447"/>
      <c r="G62" s="195">
        <f>15000/(60)</f>
        <v>250</v>
      </c>
      <c r="H62" s="219" t="s">
        <v>143</v>
      </c>
      <c r="I62" s="139"/>
      <c r="J62" s="190"/>
    </row>
    <row r="63" spans="2:13" ht="38" customHeight="1" x14ac:dyDescent="0.3">
      <c r="E63" s="448" t="s">
        <v>91</v>
      </c>
      <c r="F63" s="448"/>
      <c r="G63" s="207" t="e">
        <f>+SUM(SUMIF($G$21:$G$35, "Jumbo*", $J$21:$J$35))/SUMPRODUCT((LEFT(G21:G35, 5)="Jumbo") / (COUNTIF(G21:G35, G21:G35 &amp; "") + (G21:G35="")))</f>
        <v>#DIV/0!</v>
      </c>
      <c r="H63" s="220" t="e">
        <f>+G63*24/($G$61*24)</f>
        <v>#DIV/0!</v>
      </c>
      <c r="I63" s="190"/>
      <c r="J63" s="190"/>
    </row>
    <row r="64" spans="2:13" ht="38" customHeight="1" x14ac:dyDescent="0.3">
      <c r="E64" s="448" t="s">
        <v>92</v>
      </c>
      <c r="F64" s="448"/>
      <c r="G64" s="221" t="e">
        <f>+SUM(V21:V35)/D61</f>
        <v>#DIV/0!</v>
      </c>
      <c r="H64" s="220" t="e">
        <f>+G64/G62</f>
        <v>#DIV/0!</v>
      </c>
      <c r="I64" s="190"/>
      <c r="J64" s="190"/>
    </row>
    <row r="65" spans="2:10" ht="38" customHeight="1" x14ac:dyDescent="0.3">
      <c r="G65" s="222" t="s">
        <v>87</v>
      </c>
      <c r="H65" s="139" t="s">
        <v>23</v>
      </c>
    </row>
    <row r="66" spans="2:10" ht="20" customHeight="1" x14ac:dyDescent="0.3">
      <c r="F66" s="208" t="s">
        <v>65</v>
      </c>
      <c r="G66" s="221">
        <f t="shared" ref="G66:G71" si="8" xml:space="preserve"> SUMIF($G$21:$G$35, +F66,$V$21:$V$35)</f>
        <v>0</v>
      </c>
      <c r="H66" s="220">
        <f t="shared" ref="H66:H71" si="9">+G66/$G$62</f>
        <v>0</v>
      </c>
    </row>
    <row r="67" spans="2:10" ht="20" customHeight="1" x14ac:dyDescent="0.3">
      <c r="F67" s="208" t="s">
        <v>66</v>
      </c>
      <c r="G67" s="221">
        <f t="shared" si="8"/>
        <v>0</v>
      </c>
      <c r="H67" s="220">
        <f t="shared" si="9"/>
        <v>0</v>
      </c>
    </row>
    <row r="68" spans="2:10" ht="20" customHeight="1" x14ac:dyDescent="0.3">
      <c r="F68" s="208" t="s">
        <v>67</v>
      </c>
      <c r="G68" s="221">
        <f t="shared" si="8"/>
        <v>0</v>
      </c>
      <c r="H68" s="220">
        <f t="shared" si="9"/>
        <v>0</v>
      </c>
    </row>
    <row r="69" spans="2:10" ht="20" customHeight="1" x14ac:dyDescent="0.3">
      <c r="F69" s="208" t="s">
        <v>68</v>
      </c>
      <c r="G69" s="221">
        <f t="shared" si="8"/>
        <v>0</v>
      </c>
      <c r="H69" s="220">
        <f t="shared" si="9"/>
        <v>0</v>
      </c>
    </row>
    <row r="70" spans="2:10" ht="20" customHeight="1" x14ac:dyDescent="0.3">
      <c r="F70" s="208" t="s">
        <v>69</v>
      </c>
      <c r="G70" s="221">
        <f t="shared" si="8"/>
        <v>0</v>
      </c>
      <c r="H70" s="220">
        <f t="shared" si="9"/>
        <v>0</v>
      </c>
    </row>
    <row r="71" spans="2:10" ht="20" customHeight="1" x14ac:dyDescent="0.3">
      <c r="F71" s="208" t="s">
        <v>70</v>
      </c>
      <c r="G71" s="221">
        <f t="shared" si="8"/>
        <v>0</v>
      </c>
      <c r="H71" s="220">
        <f t="shared" si="9"/>
        <v>0</v>
      </c>
    </row>
    <row r="72" spans="2:10" ht="20" customHeight="1" x14ac:dyDescent="0.3">
      <c r="F72" s="208" t="s">
        <v>146</v>
      </c>
      <c r="G72" s="223">
        <f>+SUM(G66:G71)</f>
        <v>0</v>
      </c>
      <c r="H72" s="220" t="e">
        <f>+G72/($G$62*$D$61)</f>
        <v>#DIV/0!</v>
      </c>
    </row>
    <row r="73" spans="2:10" ht="13.5" thickBot="1" x14ac:dyDescent="0.35"/>
    <row r="74" spans="2:10" ht="30" customHeight="1" thickBot="1" x14ac:dyDescent="0.35">
      <c r="B74" s="191"/>
      <c r="C74" s="446" t="s">
        <v>107</v>
      </c>
      <c r="D74" s="446"/>
      <c r="E74" s="192"/>
      <c r="F74" s="192"/>
      <c r="G74" s="192"/>
      <c r="H74" s="192"/>
      <c r="I74" s="216"/>
      <c r="J74" s="193"/>
    </row>
    <row r="75" spans="2:10" ht="38" customHeight="1" x14ac:dyDescent="0.3">
      <c r="C75" s="208" t="s">
        <v>95</v>
      </c>
      <c r="D75" s="195">
        <f>SUMPRODUCT((LEFT(G21:G35, 5)="Scoop") / (COUNTIF(G21:G35, G21:G35 &amp; "") + (G21:G35="")))</f>
        <v>0</v>
      </c>
      <c r="E75" s="447" t="s">
        <v>90</v>
      </c>
      <c r="F75" s="447"/>
      <c r="G75" s="218">
        <v>0.20833333333333334</v>
      </c>
      <c r="I75" s="139"/>
      <c r="J75" s="190"/>
    </row>
    <row r="76" spans="2:10" ht="38" customHeight="1" x14ac:dyDescent="0.3">
      <c r="C76" s="208" t="s">
        <v>145</v>
      </c>
      <c r="D76" s="195">
        <v>4.9000000000000004</v>
      </c>
      <c r="E76" s="447" t="s">
        <v>97</v>
      </c>
      <c r="F76" s="447"/>
      <c r="G76" s="195">
        <f>15000/(60)</f>
        <v>250</v>
      </c>
      <c r="H76" s="219" t="s">
        <v>23</v>
      </c>
      <c r="I76" s="139"/>
      <c r="J76" s="190"/>
    </row>
    <row r="77" spans="2:10" ht="38" customHeight="1" x14ac:dyDescent="0.3">
      <c r="E77" s="448" t="s">
        <v>98</v>
      </c>
      <c r="F77" s="448"/>
      <c r="G77" s="207" t="e">
        <f>+SUM(SUMIF($G$21:$G$35, "Scoop*", $J$21:$J$35))/SUMPRODUCT((LEFT(G21:G35, 5)="Scoop") / (COUNTIF(G21:G35, G21:G35 &amp; "") + (G21:G35="")))</f>
        <v>#DIV/0!</v>
      </c>
      <c r="H77" s="220" t="e">
        <f>+G77*24/($G$75*24)</f>
        <v>#DIV/0!</v>
      </c>
      <c r="I77" s="190"/>
      <c r="J77" s="190"/>
    </row>
    <row r="78" spans="2:10" ht="38" customHeight="1" x14ac:dyDescent="0.3">
      <c r="E78" s="448" t="s">
        <v>99</v>
      </c>
      <c r="F78" s="448"/>
      <c r="G78" s="221" t="e">
        <f>+SUM(W21:W35)*D76/D75</f>
        <v>#DIV/0!</v>
      </c>
      <c r="H78" s="220" t="e">
        <f>+G78/G76</f>
        <v>#DIV/0!</v>
      </c>
      <c r="I78" s="190"/>
      <c r="J78" s="190"/>
    </row>
    <row r="79" spans="2:10" ht="38" customHeight="1" x14ac:dyDescent="0.3">
      <c r="G79" s="222" t="s">
        <v>96</v>
      </c>
      <c r="H79" s="139" t="s">
        <v>23</v>
      </c>
    </row>
    <row r="80" spans="2:10" ht="20" customHeight="1" x14ac:dyDescent="0.3">
      <c r="F80" s="208" t="s">
        <v>71</v>
      </c>
      <c r="G80" s="221">
        <f t="shared" ref="G80:G85" si="10" xml:space="preserve"> SUMIF($G$21:$G$35, +F80,$W$21:$W$35)*$D$76</f>
        <v>0</v>
      </c>
      <c r="H80" s="220">
        <f>+G80/$G$76</f>
        <v>0</v>
      </c>
    </row>
    <row r="81" spans="2:10" ht="20" customHeight="1" x14ac:dyDescent="0.3">
      <c r="F81" s="208" t="s">
        <v>72</v>
      </c>
      <c r="G81" s="221">
        <f t="shared" si="10"/>
        <v>0</v>
      </c>
      <c r="H81" s="220">
        <f t="shared" ref="H81:H86" si="11">+G81/$G$76</f>
        <v>0</v>
      </c>
    </row>
    <row r="82" spans="2:10" ht="20" customHeight="1" x14ac:dyDescent="0.3">
      <c r="F82" s="208" t="s">
        <v>73</v>
      </c>
      <c r="G82" s="221">
        <f t="shared" si="10"/>
        <v>0</v>
      </c>
      <c r="H82" s="220">
        <f t="shared" si="11"/>
        <v>0</v>
      </c>
    </row>
    <row r="83" spans="2:10" ht="20" customHeight="1" x14ac:dyDescent="0.3">
      <c r="F83" s="208" t="s">
        <v>74</v>
      </c>
      <c r="G83" s="221">
        <f t="shared" si="10"/>
        <v>0</v>
      </c>
      <c r="H83" s="220">
        <f t="shared" si="11"/>
        <v>0</v>
      </c>
    </row>
    <row r="84" spans="2:10" ht="20" customHeight="1" x14ac:dyDescent="0.3">
      <c r="F84" s="208" t="s">
        <v>75</v>
      </c>
      <c r="G84" s="221">
        <f t="shared" si="10"/>
        <v>0</v>
      </c>
      <c r="H84" s="220">
        <f t="shared" si="11"/>
        <v>0</v>
      </c>
    </row>
    <row r="85" spans="2:10" ht="20" customHeight="1" x14ac:dyDescent="0.3">
      <c r="F85" s="208" t="s">
        <v>76</v>
      </c>
      <c r="G85" s="221">
        <f t="shared" si="10"/>
        <v>0</v>
      </c>
      <c r="H85" s="220">
        <f t="shared" si="11"/>
        <v>0</v>
      </c>
    </row>
    <row r="86" spans="2:10" ht="20" customHeight="1" x14ac:dyDescent="0.3">
      <c r="F86" s="208" t="s">
        <v>146</v>
      </c>
      <c r="G86" s="223">
        <f>+SUM(G80:G85)</f>
        <v>0</v>
      </c>
      <c r="H86" s="220">
        <f t="shared" si="11"/>
        <v>0</v>
      </c>
    </row>
    <row r="87" spans="2:10" ht="13.5" thickBot="1" x14ac:dyDescent="0.35"/>
    <row r="88" spans="2:10" ht="30" customHeight="1" thickBot="1" x14ac:dyDescent="0.35">
      <c r="B88" s="191"/>
      <c r="C88" s="446" t="s">
        <v>149</v>
      </c>
      <c r="D88" s="446"/>
      <c r="E88" s="192"/>
      <c r="F88" s="192"/>
      <c r="G88" s="192"/>
      <c r="H88" s="192"/>
      <c r="I88" s="216"/>
      <c r="J88" s="193"/>
    </row>
    <row r="89" spans="2:10" ht="25.25" customHeight="1" x14ac:dyDescent="0.3">
      <c r="C89" s="208" t="s">
        <v>150</v>
      </c>
      <c r="D89" s="195">
        <f>SUMPRODUCT((LEFT(G21:G35, 8)="Roboshot") / (COUNTIF(G21:G35, G21:G35 &amp; "") + (G21:G35="")))</f>
        <v>0</v>
      </c>
      <c r="E89" s="447" t="s">
        <v>90</v>
      </c>
      <c r="F89" s="447"/>
      <c r="G89" s="218">
        <v>0.20833333333333334</v>
      </c>
    </row>
    <row r="90" spans="2:10" x14ac:dyDescent="0.3">
      <c r="C90" s="208"/>
      <c r="D90" s="195"/>
      <c r="E90" s="447" t="s">
        <v>97</v>
      </c>
      <c r="F90" s="447"/>
      <c r="G90" s="195">
        <v>12</v>
      </c>
      <c r="H90" s="219" t="s">
        <v>23</v>
      </c>
    </row>
    <row r="92" spans="2:10" x14ac:dyDescent="0.3">
      <c r="G92" s="222" t="s">
        <v>96</v>
      </c>
      <c r="H92" s="139" t="s">
        <v>23</v>
      </c>
    </row>
    <row r="93" spans="2:10" x14ac:dyDescent="0.3">
      <c r="F93" s="208" t="s">
        <v>77</v>
      </c>
      <c r="G93" s="221">
        <f xml:space="preserve"> SUMIF($G$21:$G$35, +F93,$X$21:$X$35)</f>
        <v>0</v>
      </c>
      <c r="H93" s="220">
        <f>+G93/$G$90</f>
        <v>0</v>
      </c>
    </row>
    <row r="94" spans="2:10" x14ac:dyDescent="0.3">
      <c r="F94" s="208" t="s">
        <v>78</v>
      </c>
      <c r="G94" s="221">
        <f xml:space="preserve"> SUMIF($G$21:$G$35, +F94,$X$21:$X$35)</f>
        <v>0</v>
      </c>
      <c r="H94" s="220">
        <f t="shared" ref="H94:H95" si="12">+G94/$G$90</f>
        <v>0</v>
      </c>
    </row>
    <row r="95" spans="2:10" x14ac:dyDescent="0.3">
      <c r="F95" s="208" t="s">
        <v>79</v>
      </c>
      <c r="G95" s="221">
        <f xml:space="preserve"> SUMIF($G$21:$G$35, +F95,$X$21:$X$35)</f>
        <v>0</v>
      </c>
      <c r="H95" s="220">
        <f t="shared" si="12"/>
        <v>0</v>
      </c>
    </row>
    <row r="96" spans="2:10" x14ac:dyDescent="0.3">
      <c r="F96" s="208" t="s">
        <v>146</v>
      </c>
      <c r="G96" s="223">
        <f>+SUM(G93:G95)</f>
        <v>0</v>
      </c>
      <c r="H96" s="220">
        <f>+G96/$G$90</f>
        <v>0</v>
      </c>
    </row>
  </sheetData>
  <mergeCells count="41">
    <mergeCell ref="K8:L8"/>
    <mergeCell ref="B1:D4"/>
    <mergeCell ref="E2:R2"/>
    <mergeCell ref="E3:R4"/>
    <mergeCell ref="K6:L6"/>
    <mergeCell ref="K7:L7"/>
    <mergeCell ref="E48:G48"/>
    <mergeCell ref="K9:L9"/>
    <mergeCell ref="K10:L10"/>
    <mergeCell ref="K11:L11"/>
    <mergeCell ref="K12:L12"/>
    <mergeCell ref="B14:S14"/>
    <mergeCell ref="C40:D40"/>
    <mergeCell ref="G40:H40"/>
    <mergeCell ref="I40:J40"/>
    <mergeCell ref="K40:L40"/>
    <mergeCell ref="E41:F41"/>
    <mergeCell ref="E42:F42"/>
    <mergeCell ref="E43:F43"/>
    <mergeCell ref="E46:G46"/>
    <mergeCell ref="E47:G47"/>
    <mergeCell ref="E49:G49"/>
    <mergeCell ref="E50:G50"/>
    <mergeCell ref="E52:G52"/>
    <mergeCell ref="E54:G54"/>
    <mergeCell ref="E55:G55"/>
    <mergeCell ref="C88:D88"/>
    <mergeCell ref="E89:F89"/>
    <mergeCell ref="C60:D60"/>
    <mergeCell ref="E61:F61"/>
    <mergeCell ref="E62:F62"/>
    <mergeCell ref="E63:F63"/>
    <mergeCell ref="E64:F64"/>
    <mergeCell ref="C74:D74"/>
    <mergeCell ref="E90:F90"/>
    <mergeCell ref="E51:G51"/>
    <mergeCell ref="E75:F75"/>
    <mergeCell ref="E76:F76"/>
    <mergeCell ref="E77:F77"/>
    <mergeCell ref="E78:F78"/>
    <mergeCell ref="E56:G56"/>
  </mergeCells>
  <conditionalFormatting sqref="H42:H43 J42:J43">
    <cfRule type="cellIs" dxfId="482" priority="13" operator="greaterThan">
      <formula>0.9</formula>
    </cfRule>
    <cfRule type="cellIs" dxfId="481" priority="14" operator="between">
      <formula>0.81</formula>
      <formula>0.89</formula>
    </cfRule>
    <cfRule type="cellIs" dxfId="480" priority="15" operator="lessThan">
      <formula>0.8</formula>
    </cfRule>
  </conditionalFormatting>
  <conditionalFormatting sqref="H63:H64">
    <cfRule type="cellIs" dxfId="479" priority="16" operator="greaterThan">
      <formula>0.9</formula>
    </cfRule>
    <cfRule type="cellIs" dxfId="478" priority="17" operator="between">
      <formula>0.81</formula>
      <formula>0.89</formula>
    </cfRule>
    <cfRule type="cellIs" dxfId="477" priority="18" operator="lessThan">
      <formula>0.8</formula>
    </cfRule>
  </conditionalFormatting>
  <conditionalFormatting sqref="H66:H72">
    <cfRule type="cellIs" dxfId="476" priority="19" operator="greaterThan">
      <formula>0.9</formula>
    </cfRule>
    <cfRule type="cellIs" dxfId="475" priority="20" operator="between">
      <formula>0.81</formula>
      <formula>0.89</formula>
    </cfRule>
    <cfRule type="cellIs" dxfId="474" priority="21" operator="lessThan">
      <formula>0.8</formula>
    </cfRule>
  </conditionalFormatting>
  <conditionalFormatting sqref="H77:H78">
    <cfRule type="cellIs" dxfId="473" priority="7" operator="greaterThan">
      <formula>0.9</formula>
    </cfRule>
    <cfRule type="cellIs" dxfId="472" priority="8" operator="between">
      <formula>0.81</formula>
      <formula>0.89</formula>
    </cfRule>
    <cfRule type="cellIs" dxfId="471" priority="9" operator="lessThan">
      <formula>0.8</formula>
    </cfRule>
  </conditionalFormatting>
  <conditionalFormatting sqref="H80:H86">
    <cfRule type="cellIs" dxfId="470" priority="10" operator="greaterThan">
      <formula>0.9</formula>
    </cfRule>
    <cfRule type="cellIs" dxfId="469" priority="11" operator="between">
      <formula>0.81</formula>
      <formula>0.89</formula>
    </cfRule>
    <cfRule type="cellIs" dxfId="468" priority="12" operator="lessThan">
      <formula>0.8</formula>
    </cfRule>
  </conditionalFormatting>
  <conditionalFormatting sqref="H93:H96">
    <cfRule type="cellIs" dxfId="467" priority="4" operator="greaterThan">
      <formula>0.9</formula>
    </cfRule>
    <cfRule type="cellIs" dxfId="466" priority="5" operator="between">
      <formula>0.81</formula>
      <formula>0.89</formula>
    </cfRule>
    <cfRule type="cellIs" dxfId="465" priority="6" operator="lessThan">
      <formula>0.8</formula>
    </cfRule>
  </conditionalFormatting>
  <conditionalFormatting sqref="L42:L43">
    <cfRule type="cellIs" dxfId="464" priority="1" operator="greaterThan">
      <formula>0.9</formula>
    </cfRule>
    <cfRule type="cellIs" dxfId="463" priority="2" operator="between">
      <formula>0.81</formula>
      <formula>0.89</formula>
    </cfRule>
    <cfRule type="cellIs" dxfId="462" priority="3" operator="lessThan">
      <formula>0.8</formula>
    </cfRule>
  </conditionalFormatting>
  <pageMargins left="0.25" right="0.25" top="0.75" bottom="0.75" header="0.3" footer="0.3"/>
  <pageSetup scale="3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B52D791-B77F-43D5-92B3-38CE579132CB}">
          <x14:formula1>
            <xm:f>Datos!$F$3:$F$41</xm:f>
          </x14:formula1>
          <xm:sqref>G30:G38 G21:G27</xm:sqref>
        </x14:dataValidation>
        <x14:dataValidation type="list" allowBlank="1" showInputMessage="1" showErrorMessage="1" xr:uid="{41B4D3A0-60E2-449F-AAC1-59F3707934AD}">
          <x14:formula1>
            <xm:f>Datos!$W$3:$W$12</xm:f>
          </x14:formula1>
          <xm:sqref>L30:L38 L21:L27</xm:sqref>
        </x14:dataValidation>
        <x14:dataValidation type="list" allowBlank="1" showInputMessage="1" showErrorMessage="1" xr:uid="{CA694621-EC71-4884-A3E4-4CB2E163A7A5}">
          <x14:formula1>
            <xm:f>Datos!$D$3:$D$27</xm:f>
          </x14:formula1>
          <xm:sqref>F30:F38 F21:F27</xm:sqref>
        </x14:dataValidation>
        <x14:dataValidation type="list" allowBlank="1" showInputMessage="1" showErrorMessage="1" xr:uid="{0C281C06-2A9A-4EB2-90D1-BEB1E8D6C4F4}">
          <x14:formula1>
            <xm:f>Datos!$B$3:$B$8</xm:f>
          </x14:formula1>
          <xm:sqref>E30:E38 E21:E27</xm:sqref>
        </x14:dataValidation>
        <x14:dataValidation type="list" allowBlank="1" showInputMessage="1" showErrorMessage="1" xr:uid="{2E67BB99-9853-4F83-B157-617B1AD2C4CB}">
          <x14:formula1>
            <xm:f>Datos!$H$3:$H$34</xm:f>
          </x14:formula1>
          <xm:sqref>D30:D37 D21:D26</xm:sqref>
        </x14:dataValidation>
        <x14:dataValidation type="list" allowBlank="1" showInputMessage="1" showErrorMessage="1" xr:uid="{CBD0A006-5CB1-4CB7-A241-9DBFCCA0E849}">
          <x14:formula1>
            <xm:f>Datos!$H$3:$H$26</xm:f>
          </x14:formula1>
          <xm:sqref>D27 D38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CAC0-D7E7-4299-9BBE-673EB0A08867}">
  <sheetPr>
    <pageSetUpPr fitToPage="1"/>
  </sheetPr>
  <dimension ref="B1:X95"/>
  <sheetViews>
    <sheetView showGridLines="0" topLeftCell="A19" zoomScale="85" zoomScaleNormal="85" zoomScaleSheetLayoutView="50" workbookViewId="0">
      <pane xSplit="3" ySplit="2" topLeftCell="G21" activePane="bottomRight" state="frozen"/>
      <selection activeCell="K27" sqref="K27"/>
      <selection pane="topRight" activeCell="K27" sqref="K27"/>
      <selection pane="bottomLeft" activeCell="K27" sqref="K27"/>
      <selection pane="bottomRight" activeCell="D23" sqref="D23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19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+G41</f>
        <v>0.81388888888888888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+H42</f>
        <v>0.9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52</v>
      </c>
      <c r="E21" s="172" t="s">
        <v>6</v>
      </c>
      <c r="F21" s="172" t="s">
        <v>163</v>
      </c>
      <c r="G21" s="172" t="s">
        <v>210</v>
      </c>
      <c r="H21" s="174">
        <v>0.40625</v>
      </c>
      <c r="I21" s="174">
        <v>0.42708333333333331</v>
      </c>
      <c r="J21" s="175">
        <f>I21-H21</f>
        <v>2.0833333333333315E-2</v>
      </c>
      <c r="K21" s="178">
        <v>6</v>
      </c>
      <c r="L21" s="177" t="s">
        <v>126</v>
      </c>
      <c r="M21" s="178"/>
      <c r="N21" s="179">
        <v>1</v>
      </c>
      <c r="O21" s="186" t="s">
        <v>452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6.8454078722190517E-2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59</v>
      </c>
      <c r="E22" s="172" t="s">
        <v>6</v>
      </c>
      <c r="F22" s="172" t="s">
        <v>163</v>
      </c>
      <c r="G22" s="172" t="s">
        <v>213</v>
      </c>
      <c r="H22" s="174">
        <v>0.43402777777777779</v>
      </c>
      <c r="I22" s="174">
        <v>0.4909722222222222</v>
      </c>
      <c r="J22" s="175">
        <f>I22-H22</f>
        <v>5.6944444444444409E-2</v>
      </c>
      <c r="K22" s="178"/>
      <c r="L22" s="177"/>
      <c r="M22" s="178"/>
      <c r="N22" s="179">
        <v>1</v>
      </c>
      <c r="O22" s="225"/>
      <c r="P22" s="181"/>
      <c r="Q22" s="174"/>
      <c r="R22" s="172"/>
      <c r="S22" s="175">
        <f t="shared" ref="S22:S26" si="0">+MOD(R22-Q22,1)</f>
        <v>0</v>
      </c>
      <c r="U22" s="182">
        <f>+IFERROR(VLOOKUP(D22,Datos!$R$3:$T$19,3,FALSE), "0")*N22</f>
        <v>5.7045065601825425E-3</v>
      </c>
      <c r="V22" s="183" t="str">
        <f t="shared" ref="V22:V26" si="1">IF(OR(D22="Perforación de Fortificación", D22="Perforación de Avance", D22="Perforación Desquinche"), K22*M22, "")</f>
        <v/>
      </c>
      <c r="W22" s="183" t="str">
        <f t="shared" ref="W22:W26" si="2">IF(D22="Extracción de Marina Disparo",K22,"")</f>
        <v/>
      </c>
      <c r="X22" s="183" t="str">
        <f t="shared" ref="X22:X26" si="3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63</v>
      </c>
      <c r="E23" s="172" t="s">
        <v>6</v>
      </c>
      <c r="F23" s="172" t="s">
        <v>163</v>
      </c>
      <c r="G23" s="172" t="s">
        <v>203</v>
      </c>
      <c r="H23" s="174">
        <v>0.51388888888888884</v>
      </c>
      <c r="I23" s="174">
        <v>0.75</v>
      </c>
      <c r="J23" s="175">
        <f>I23-H23</f>
        <v>0.23611111111111116</v>
      </c>
      <c r="K23" s="178">
        <v>90</v>
      </c>
      <c r="L23" s="177" t="s">
        <v>138</v>
      </c>
      <c r="M23" s="178">
        <v>3.8</v>
      </c>
      <c r="N23" s="179">
        <v>0.7</v>
      </c>
      <c r="O23" s="186" t="s">
        <v>453</v>
      </c>
      <c r="P23" s="181"/>
      <c r="Q23" s="174"/>
      <c r="R23" s="172"/>
      <c r="S23" s="175">
        <f t="shared" si="0"/>
        <v>0</v>
      </c>
      <c r="U23" s="182">
        <f>+IFERROR(VLOOKUP(D23,Datos!$R$3:$T$19,3,FALSE), "0")*N23</f>
        <v>9.4637763833428395E-2</v>
      </c>
      <c r="V23" s="183">
        <f t="shared" si="1"/>
        <v>342</v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/>
      <c r="C24" s="173"/>
      <c r="D24" s="173"/>
      <c r="E24" s="172"/>
      <c r="F24" s="172"/>
      <c r="G24" s="172"/>
      <c r="H24" s="174"/>
      <c r="I24" s="174"/>
      <c r="J24" s="175"/>
      <c r="K24" s="178"/>
      <c r="L24" s="177"/>
      <c r="M24" s="178"/>
      <c r="N24" s="179"/>
      <c r="O24" s="186"/>
      <c r="P24" s="181"/>
      <c r="Q24" s="174"/>
      <c r="R24" s="174"/>
      <c r="S24" s="175"/>
      <c r="U24" s="182"/>
      <c r="V24" s="183"/>
      <c r="W24" s="183"/>
      <c r="X24" s="183"/>
    </row>
    <row r="25" spans="2:24" ht="37.75" customHeight="1" x14ac:dyDescent="0.3">
      <c r="B25" s="172"/>
      <c r="C25" s="173"/>
      <c r="D25" s="173" t="s">
        <v>110</v>
      </c>
      <c r="E25" s="172"/>
      <c r="F25" s="172"/>
      <c r="G25" s="172"/>
      <c r="H25" s="174">
        <v>0.33333333333333331</v>
      </c>
      <c r="I25" s="174">
        <v>0.83333333333333337</v>
      </c>
      <c r="J25" s="175">
        <f>I25-H25</f>
        <v>0.5</v>
      </c>
      <c r="K25" s="178"/>
      <c r="L25" s="177"/>
      <c r="M25" s="178"/>
      <c r="N25" s="179"/>
      <c r="O25" s="186" t="s">
        <v>436</v>
      </c>
      <c r="P25" s="181"/>
      <c r="Q25" s="174"/>
      <c r="R25" s="174"/>
      <c r="S25" s="175"/>
      <c r="U25" s="182"/>
      <c r="V25" s="183" t="str">
        <f t="shared" si="1"/>
        <v/>
      </c>
      <c r="W25" s="183" t="str">
        <f t="shared" si="2"/>
        <v/>
      </c>
      <c r="X25" s="183" t="str">
        <f t="shared" si="3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 t="s">
        <v>329</v>
      </c>
      <c r="J26" s="175">
        <f>MOD(I23-H21, 1)</f>
        <v>0.34375</v>
      </c>
      <c r="K26" s="178"/>
      <c r="L26" s="177"/>
      <c r="M26" s="178"/>
      <c r="N26" s="179"/>
      <c r="O26" s="186"/>
      <c r="P26" s="172"/>
      <c r="Q26" s="172"/>
      <c r="R26" s="172"/>
      <c r="S26" s="175">
        <f t="shared" si="0"/>
        <v>0</v>
      </c>
      <c r="U26" s="182">
        <f>SUM(U21:U25)</f>
        <v>0.16879634911580144</v>
      </c>
      <c r="V26" s="183" t="str">
        <f t="shared" si="1"/>
        <v/>
      </c>
      <c r="W26" s="183" t="str">
        <f t="shared" si="2"/>
        <v/>
      </c>
      <c r="X26" s="183" t="str">
        <f t="shared" si="3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 t="s">
        <v>110</v>
      </c>
      <c r="E29" s="172" t="s">
        <v>6</v>
      </c>
      <c r="F29" s="172" t="s">
        <v>164</v>
      </c>
      <c r="G29" s="172"/>
      <c r="H29" s="174">
        <v>0.33333333333333331</v>
      </c>
      <c r="I29" s="174">
        <v>0.83333333333333337</v>
      </c>
      <c r="J29" s="175">
        <f>I29-H29</f>
        <v>0.5</v>
      </c>
      <c r="K29" s="178"/>
      <c r="L29" s="177"/>
      <c r="M29" s="178"/>
      <c r="N29" s="179">
        <v>1</v>
      </c>
      <c r="O29" s="186" t="s">
        <v>428</v>
      </c>
      <c r="P29" s="225"/>
      <c r="Q29" s="174"/>
      <c r="R29" s="174"/>
      <c r="S29" s="175"/>
      <c r="U29" s="187">
        <f>+IFERROR(VLOOKUP(D29,Datos!$R$24:$T$40,3,FALSE), "0")*N29</f>
        <v>0</v>
      </c>
      <c r="V29" s="183" t="str">
        <f t="shared" ref="V29:V37" si="4">IF(OR(D29="Perforación de Fortificación", D29="Perforación de Avance", D29="Perforación Desquinche"), K29*M29, "")</f>
        <v/>
      </c>
      <c r="W29" s="183" t="str">
        <f>IF(D29="Extracción de Marina Disparo",K29,"")</f>
        <v/>
      </c>
      <c r="X29" s="183" t="str">
        <f t="shared" ref="X29:X37" si="5">IF(OR(D29="Shotcrete", D29="Pre Shotcrete"), K29, "")</f>
        <v/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73"/>
      <c r="Q30" s="174"/>
      <c r="R30" s="174"/>
      <c r="S30" s="175"/>
      <c r="U30" s="187">
        <f>+IFERROR(VLOOKUP(D30,Datos!$R$24:$T$40,3,FALSE), "0")*N30</f>
        <v>0</v>
      </c>
      <c r="V30" s="183" t="str">
        <f t="shared" si="4"/>
        <v/>
      </c>
      <c r="W30" s="183" t="str">
        <f>IF(D30="Extracción de Marina Disparo",K30,"")</f>
        <v/>
      </c>
      <c r="X30" s="183" t="str">
        <f t="shared" si="5"/>
        <v/>
      </c>
    </row>
    <row r="31" spans="2:24" ht="53.4" customHeight="1" x14ac:dyDescent="0.3">
      <c r="B31" s="172">
        <v>3700</v>
      </c>
      <c r="C31" s="173" t="str">
        <f>+C29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81"/>
      <c r="Q31" s="174"/>
      <c r="R31" s="174"/>
      <c r="S31" s="175"/>
      <c r="U31" s="187">
        <f>+IFERROR(VLOOKUP(D31,Datos!$R$24:$T$40,3,FALSE), "0")*N31</f>
        <v>0</v>
      </c>
      <c r="V31" s="183" t="str">
        <f t="shared" si="4"/>
        <v/>
      </c>
      <c r="W31" s="183" t="str">
        <f t="shared" ref="W31:W37" si="6">IF(D31="Extracción de Marina Disparo",K31,"")</f>
        <v/>
      </c>
      <c r="X31" s="183" t="str">
        <f t="shared" si="5"/>
        <v/>
      </c>
    </row>
    <row r="32" spans="2:24" ht="38" customHeight="1" x14ac:dyDescent="0.3">
      <c r="B32" s="172">
        <v>3700</v>
      </c>
      <c r="C32" s="173" t="s">
        <v>397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72"/>
      <c r="Q32" s="172"/>
      <c r="R32" s="172"/>
      <c r="S32" s="175"/>
      <c r="U32" s="187">
        <f>+IFERROR(VLOOKUP(D32,Datos!$R$24:$T$40,3,FALSE), "0")*N32</f>
        <v>0</v>
      </c>
      <c r="V32" s="183" t="str">
        <f t="shared" si="4"/>
        <v/>
      </c>
      <c r="W32" s="183" t="str">
        <f t="shared" si="6"/>
        <v/>
      </c>
      <c r="X32" s="183"/>
    </row>
    <row r="33" spans="2:24" ht="38" customHeight="1" x14ac:dyDescent="0.3">
      <c r="B33" s="172">
        <v>3700</v>
      </c>
      <c r="C33" s="173" t="str">
        <f>+C32</f>
        <v>Fróntón Bodega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81"/>
      <c r="Q33" s="174"/>
      <c r="R33" s="174"/>
      <c r="S33" s="175"/>
      <c r="U33" s="187">
        <f>+IFERROR(VLOOKUP(D33,Datos!$R$24:$T$40,3,FALSE), "0")*N33</f>
        <v>0</v>
      </c>
      <c r="V33" s="183" t="str">
        <f t="shared" si="4"/>
        <v/>
      </c>
      <c r="W33" s="183" t="str">
        <f t="shared" si="6"/>
        <v/>
      </c>
      <c r="X33" s="183" t="str">
        <f t="shared" si="5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225"/>
      <c r="P34" s="172"/>
      <c r="Q34" s="172"/>
      <c r="R34" s="172"/>
      <c r="S34" s="175">
        <f t="shared" ref="S34:S37" si="7">+MOD(R34-Q34,1)</f>
        <v>0</v>
      </c>
      <c r="U34" s="187">
        <f>+IFERROR(VLOOKUP(D34,Datos!$R$24:$T$40,3,FALSE), "0")*N34</f>
        <v>0</v>
      </c>
      <c r="V34" s="183" t="str">
        <f t="shared" si="4"/>
        <v/>
      </c>
      <c r="W34" s="183" t="str">
        <f t="shared" si="6"/>
        <v/>
      </c>
      <c r="X34" s="183" t="str">
        <f t="shared" si="5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7"/>
        <v>0</v>
      </c>
      <c r="U35" s="187"/>
      <c r="V35" s="183" t="str">
        <f t="shared" si="4"/>
        <v/>
      </c>
      <c r="W35" s="183" t="str">
        <f t="shared" si="6"/>
        <v/>
      </c>
      <c r="X35" s="183" t="str">
        <f t="shared" si="5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7"/>
        <v>0</v>
      </c>
      <c r="U36" s="187"/>
      <c r="V36" s="183" t="str">
        <f t="shared" si="4"/>
        <v/>
      </c>
      <c r="W36" s="183" t="str">
        <f t="shared" si="6"/>
        <v/>
      </c>
      <c r="X36" s="183" t="str">
        <f t="shared" si="5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 t="s">
        <v>329</v>
      </c>
      <c r="J37" s="175"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7"/>
        <v>0</v>
      </c>
      <c r="U37" s="182">
        <f>SUM(U29:U36)</f>
        <v>0</v>
      </c>
      <c r="V37" s="183" t="str">
        <f t="shared" si="4"/>
        <v/>
      </c>
      <c r="W37" s="183" t="str">
        <f t="shared" si="6"/>
        <v/>
      </c>
      <c r="X37" s="183" t="str">
        <f t="shared" si="5"/>
        <v/>
      </c>
    </row>
    <row r="38" spans="2:24" ht="15.65" customHeight="1" thickBot="1" x14ac:dyDescent="0.35">
      <c r="B38" s="190"/>
      <c r="C38" s="190"/>
      <c r="D38" s="190"/>
      <c r="E38" s="190"/>
      <c r="F38" s="190"/>
      <c r="G38" s="190"/>
      <c r="H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</row>
    <row r="39" spans="2:24" ht="30" customHeight="1" thickBot="1" x14ac:dyDescent="0.35">
      <c r="B39" s="191"/>
      <c r="C39" s="446" t="s">
        <v>64</v>
      </c>
      <c r="D39" s="446"/>
      <c r="E39" s="192"/>
      <c r="F39" s="192"/>
      <c r="G39" s="431">
        <v>3500</v>
      </c>
      <c r="H39" s="432"/>
      <c r="I39" s="431">
        <v>3700</v>
      </c>
      <c r="J39" s="432"/>
      <c r="K39" s="433" t="s">
        <v>146</v>
      </c>
      <c r="L39" s="434"/>
      <c r="M39" s="190"/>
      <c r="N39" s="190"/>
      <c r="O39" s="190"/>
      <c r="P39" s="190"/>
      <c r="Q39" s="190"/>
      <c r="R39" s="190"/>
      <c r="S39" s="190"/>
    </row>
    <row r="40" spans="2:24" ht="30" customHeight="1" x14ac:dyDescent="0.3">
      <c r="C40" s="194" t="s">
        <v>48</v>
      </c>
      <c r="D40" s="195">
        <f>SUMPRODUCT((LEFT(F21:F34, 1)="C") / (COUNTIF(F21:F34, F21:F34 &amp; "") + (F21:F34="")))</f>
        <v>0</v>
      </c>
      <c r="E40" s="447" t="s">
        <v>90</v>
      </c>
      <c r="F40" s="447"/>
      <c r="G40" s="196">
        <v>0.26041666666666669</v>
      </c>
      <c r="H40" s="197" t="s">
        <v>23</v>
      </c>
      <c r="I40" s="196">
        <v>0.26041666666666669</v>
      </c>
      <c r="J40" s="197" t="s">
        <v>23</v>
      </c>
      <c r="K40" s="198">
        <f>+G40</f>
        <v>0.26041666666666669</v>
      </c>
      <c r="L40" s="197" t="s">
        <v>23</v>
      </c>
      <c r="M40" s="190"/>
      <c r="N40" s="190"/>
      <c r="O40" s="190"/>
      <c r="P40" s="190"/>
      <c r="Q40" s="190"/>
      <c r="R40" s="190"/>
      <c r="S40" s="190"/>
    </row>
    <row r="41" spans="2:24" x14ac:dyDescent="0.3">
      <c r="C41" s="194" t="s">
        <v>49</v>
      </c>
      <c r="D41" s="195">
        <f>SUMPRODUCT((LEFT(F21:F34, 1)="O") / (COUNTIF(F21:F34, F21:F34 &amp; "") + (F21:F34="")))</f>
        <v>0</v>
      </c>
      <c r="E41" s="448" t="s">
        <v>198</v>
      </c>
      <c r="F41" s="448"/>
      <c r="G41" s="199">
        <f>SUM(J21:J25)</f>
        <v>0.81388888888888888</v>
      </c>
      <c r="H41" s="200">
        <f>+G41*24/($G$40*24)</f>
        <v>3.1253333333333329</v>
      </c>
      <c r="I41" s="199">
        <f>SUM(J29:J34)</f>
        <v>0.5</v>
      </c>
      <c r="J41" s="200">
        <f>+I41*24/($I$40*24)</f>
        <v>1.92</v>
      </c>
      <c r="K41" s="201">
        <f>AVERAGE(G41+I41)/2</f>
        <v>0.65694444444444444</v>
      </c>
      <c r="L41" s="200">
        <f>+K41*24/($K$40*24)</f>
        <v>2.5226666666666664</v>
      </c>
      <c r="M41" s="190"/>
      <c r="N41" s="190"/>
      <c r="O41" s="190"/>
      <c r="P41" s="190"/>
      <c r="Q41" s="190"/>
      <c r="R41" s="190"/>
      <c r="S41" s="190"/>
    </row>
    <row r="42" spans="2:24" ht="43.25" customHeight="1" thickBot="1" x14ac:dyDescent="0.35">
      <c r="E42" s="448" t="s">
        <v>94</v>
      </c>
      <c r="F42" s="448"/>
      <c r="G42" s="202"/>
      <c r="H42" s="203">
        <f>+AVERAGE(N21:N26)</f>
        <v>0.9</v>
      </c>
      <c r="I42" s="202"/>
      <c r="J42" s="203">
        <f>+AVERAGE(N29:N34)</f>
        <v>1</v>
      </c>
      <c r="K42" s="204"/>
      <c r="L42" s="203">
        <f>+AVERAGE(N21:N34)</f>
        <v>0.92500000000000004</v>
      </c>
    </row>
    <row r="43" spans="2:24" ht="43.25" customHeight="1" x14ac:dyDescent="0.3">
      <c r="E43" s="205"/>
      <c r="F43" s="205"/>
      <c r="G43" s="206"/>
      <c r="H43" s="206"/>
      <c r="I43" s="137"/>
      <c r="J43" s="137"/>
      <c r="K43" s="137"/>
      <c r="L43" s="137"/>
    </row>
    <row r="44" spans="2:24" ht="43.25" customHeight="1" x14ac:dyDescent="0.3">
      <c r="E44" s="194"/>
      <c r="F44" s="194"/>
      <c r="G44" s="207"/>
      <c r="H44" s="208" t="s">
        <v>24</v>
      </c>
      <c r="I44" s="208" t="s">
        <v>199</v>
      </c>
      <c r="J44" s="208" t="s">
        <v>201</v>
      </c>
      <c r="K44" s="208" t="s">
        <v>404</v>
      </c>
      <c r="L44" s="345" t="s">
        <v>484</v>
      </c>
      <c r="M44" s="345" t="s">
        <v>485</v>
      </c>
      <c r="N44" s="208"/>
    </row>
    <row r="45" spans="2:24" ht="14.5" x14ac:dyDescent="0.35">
      <c r="E45" s="445" t="s">
        <v>174</v>
      </c>
      <c r="F45" s="445"/>
      <c r="G45" s="445"/>
      <c r="H45" s="209">
        <f>+U37</f>
        <v>0</v>
      </c>
      <c r="I45" s="298">
        <f>+H45*$J$45*$K$45</f>
        <v>0</v>
      </c>
      <c r="J45" s="298">
        <v>6.6</v>
      </c>
      <c r="K45" s="246">
        <v>3.42</v>
      </c>
      <c r="L45" s="344">
        <v>56.080975609756102</v>
      </c>
      <c r="M45" s="344">
        <f>+L45*K45*H45</f>
        <v>0</v>
      </c>
    </row>
    <row r="46" spans="2:24" ht="14.4" customHeight="1" x14ac:dyDescent="0.35">
      <c r="E46" s="445" t="s">
        <v>224</v>
      </c>
      <c r="F46" s="445"/>
      <c r="G46" s="445"/>
      <c r="H46" s="209"/>
      <c r="I46" s="298">
        <f>+J46*K46</f>
        <v>0</v>
      </c>
      <c r="J46" s="298">
        <f>1892/1000000</f>
        <v>1.892E-3</v>
      </c>
      <c r="K46" s="246">
        <f>+((15*4.4)*2.72)*0</f>
        <v>0</v>
      </c>
      <c r="L46" s="346">
        <v>1.6919982016368774E-2</v>
      </c>
      <c r="M46" s="344">
        <f>+L46*K46</f>
        <v>0</v>
      </c>
    </row>
    <row r="47" spans="2:24" ht="14.4" customHeight="1" x14ac:dyDescent="0.35">
      <c r="E47" s="445" t="s">
        <v>359</v>
      </c>
      <c r="F47" s="445"/>
      <c r="G47" s="445"/>
      <c r="H47" s="209"/>
      <c r="I47" s="298">
        <f>+J47*K47</f>
        <v>0</v>
      </c>
      <c r="J47" s="298">
        <v>0.340368</v>
      </c>
      <c r="K47" s="246">
        <v>0</v>
      </c>
      <c r="L47" s="346">
        <v>2.2358937544867188</v>
      </c>
      <c r="M47" s="344">
        <f>+L47*K47</f>
        <v>0</v>
      </c>
    </row>
    <row r="48" spans="2:24" ht="14.4" customHeight="1" x14ac:dyDescent="0.35">
      <c r="E48" s="445" t="s">
        <v>376</v>
      </c>
      <c r="F48" s="445"/>
      <c r="G48" s="445"/>
      <c r="H48" s="209">
        <v>0</v>
      </c>
      <c r="I48" s="298">
        <f>+H48*$J$48*$K$48</f>
        <v>0</v>
      </c>
      <c r="J48" s="298">
        <f>23683234/1000000</f>
        <v>23.683233999999999</v>
      </c>
      <c r="K48" s="226">
        <v>0</v>
      </c>
      <c r="L48" s="346">
        <v>254.98967741935485</v>
      </c>
      <c r="M48" s="344">
        <f>+L48*K48*H48</f>
        <v>0</v>
      </c>
    </row>
    <row r="49" spans="2:13" ht="14.4" customHeight="1" x14ac:dyDescent="0.35">
      <c r="E49" s="445" t="s">
        <v>236</v>
      </c>
      <c r="F49" s="445"/>
      <c r="G49" s="445"/>
      <c r="H49" s="209"/>
      <c r="I49" s="298">
        <f>+J49*K49</f>
        <v>0</v>
      </c>
      <c r="J49" s="298">
        <f>25508/1000000</f>
        <v>2.5507999999999999E-2</v>
      </c>
      <c r="K49" s="246">
        <f>7/(0.05)*0</f>
        <v>0</v>
      </c>
      <c r="L49" s="347" t="s">
        <v>486</v>
      </c>
      <c r="M49" s="349"/>
    </row>
    <row r="50" spans="2:13" ht="14.4" customHeight="1" x14ac:dyDescent="0.35">
      <c r="E50" s="445" t="s">
        <v>451</v>
      </c>
      <c r="F50" s="445"/>
      <c r="G50" s="445"/>
      <c r="H50" s="209">
        <v>1</v>
      </c>
      <c r="I50" s="298">
        <f>H50*J50</f>
        <v>7.9892054999999997</v>
      </c>
      <c r="J50" s="298">
        <f>15978411/2000000</f>
        <v>7.9892054999999997</v>
      </c>
      <c r="K50" s="246"/>
      <c r="L50" s="347" t="s">
        <v>486</v>
      </c>
      <c r="M50" s="344"/>
    </row>
    <row r="51" spans="2:13" ht="14.4" customHeight="1" x14ac:dyDescent="0.35">
      <c r="E51" s="445" t="s">
        <v>298</v>
      </c>
      <c r="F51" s="445"/>
      <c r="G51" s="445"/>
      <c r="H51" s="209"/>
      <c r="I51" s="210">
        <f>SUM(I45:I50)</f>
        <v>7.9892054999999997</v>
      </c>
      <c r="J51" s="214"/>
      <c r="K51" s="246"/>
      <c r="L51" s="344"/>
      <c r="M51" s="344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/>
    </row>
    <row r="53" spans="2:13" ht="14.4" customHeight="1" x14ac:dyDescent="0.35">
      <c r="E53" s="445" t="s">
        <v>175</v>
      </c>
      <c r="F53" s="445"/>
      <c r="G53" s="445"/>
      <c r="H53" s="209">
        <f>+U26</f>
        <v>0.16879634911580144</v>
      </c>
      <c r="I53" s="210">
        <f>+H53*$J$53*$K$53</f>
        <v>7.9671876782658284</v>
      </c>
      <c r="J53" s="211">
        <v>11.8</v>
      </c>
      <c r="K53" s="246">
        <v>4</v>
      </c>
      <c r="L53" s="344">
        <v>118.52055555555555</v>
      </c>
      <c r="M53" s="344">
        <f>+L53*K53*H53</f>
        <v>80.023348291817172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0</v>
      </c>
      <c r="J54" s="296">
        <f>+J46*0</f>
        <v>0</v>
      </c>
      <c r="K54" s="215">
        <f>+((15*2.8)*2.72)*K25</f>
        <v>0</v>
      </c>
      <c r="L54" s="346">
        <v>1.6919982016368774E-2</v>
      </c>
      <c r="M54" s="344">
        <f>+L54*K54</f>
        <v>0</v>
      </c>
    </row>
    <row r="55" spans="2:13" ht="14.4" customHeight="1" x14ac:dyDescent="0.35">
      <c r="E55" s="445" t="s">
        <v>297</v>
      </c>
      <c r="F55" s="445"/>
      <c r="G55" s="445"/>
      <c r="H55" s="209"/>
      <c r="I55" s="210">
        <f>SUM(I53:I54)</f>
        <v>7.9671876782658284</v>
      </c>
      <c r="J55" s="214"/>
      <c r="K55" s="246"/>
      <c r="L55" s="347"/>
      <c r="M55" s="349"/>
    </row>
    <row r="56" spans="2:13" ht="14.4" customHeight="1" x14ac:dyDescent="0.3">
      <c r="E56" s="227"/>
      <c r="F56" s="227"/>
      <c r="G56" s="227"/>
      <c r="H56" s="209"/>
      <c r="I56" s="210"/>
      <c r="J56" s="214"/>
      <c r="K56" s="246"/>
      <c r="L56" s="213"/>
      <c r="M56" s="352">
        <f>SUM(M45:M55)</f>
        <v>80.023348291817172</v>
      </c>
    </row>
    <row r="57" spans="2:13" ht="14.4" customHeight="1" x14ac:dyDescent="0.3">
      <c r="L57" s="213"/>
    </row>
    <row r="58" spans="2:13" ht="7.75" customHeight="1" thickBot="1" x14ac:dyDescent="0.35"/>
    <row r="59" spans="2:13" ht="30" customHeight="1" thickBot="1" x14ac:dyDescent="0.35">
      <c r="B59" s="191"/>
      <c r="C59" s="446" t="s">
        <v>88</v>
      </c>
      <c r="D59" s="446"/>
      <c r="E59" s="192"/>
      <c r="F59" s="192"/>
      <c r="G59" s="192"/>
      <c r="H59" s="192"/>
      <c r="I59" s="216"/>
      <c r="J59" s="193"/>
    </row>
    <row r="60" spans="2:13" ht="38" customHeight="1" x14ac:dyDescent="0.3">
      <c r="C60" s="217" t="s">
        <v>89</v>
      </c>
      <c r="D60" s="195">
        <f>SUMPRODUCT((LEFT(G21:G34, 5)="Jumbo") / (COUNTIF(G21:G34, G21:G34 &amp; "") + (G21:G34="")))</f>
        <v>1</v>
      </c>
      <c r="E60" s="447" t="s">
        <v>90</v>
      </c>
      <c r="F60" s="447"/>
      <c r="G60" s="218">
        <v>0.20833333333333334</v>
      </c>
      <c r="I60" s="139"/>
      <c r="J60" s="190"/>
    </row>
    <row r="61" spans="2:13" ht="38" customHeight="1" x14ac:dyDescent="0.3">
      <c r="E61" s="447" t="s">
        <v>93</v>
      </c>
      <c r="F61" s="447"/>
      <c r="G61" s="195">
        <f>15000/(60)</f>
        <v>250</v>
      </c>
      <c r="H61" s="219" t="s">
        <v>143</v>
      </c>
      <c r="I61" s="139"/>
      <c r="J61" s="190"/>
    </row>
    <row r="62" spans="2:13" ht="38" customHeight="1" x14ac:dyDescent="0.3">
      <c r="E62" s="448" t="s">
        <v>91</v>
      </c>
      <c r="F62" s="448"/>
      <c r="G62" s="207">
        <f>+SUM(SUMIF($G$21:$G$34, "Jumbo*", $J$21:$J$34))/SUMPRODUCT((LEFT(G21:G34, 5)="Jumbo") / (COUNTIF(G21:G34, G21:G34 &amp; "") + (G21:G34="")))</f>
        <v>0.23611111111111116</v>
      </c>
      <c r="H62" s="220">
        <f>+G62*24/($G$60*24)</f>
        <v>1.1333333333333335</v>
      </c>
      <c r="I62" s="190"/>
      <c r="J62" s="190"/>
    </row>
    <row r="63" spans="2:13" ht="38" customHeight="1" x14ac:dyDescent="0.3">
      <c r="E63" s="448" t="s">
        <v>92</v>
      </c>
      <c r="F63" s="448"/>
      <c r="G63" s="221">
        <f>+SUM(V21:V34)/D60</f>
        <v>342</v>
      </c>
      <c r="H63" s="220">
        <f>+G63/G61</f>
        <v>1.3680000000000001</v>
      </c>
      <c r="I63" s="190"/>
      <c r="J63" s="190"/>
    </row>
    <row r="64" spans="2:13" ht="38" customHeight="1" x14ac:dyDescent="0.3">
      <c r="G64" s="222" t="s">
        <v>87</v>
      </c>
      <c r="H64" s="139" t="s">
        <v>23</v>
      </c>
    </row>
    <row r="65" spans="2:10" ht="20" customHeight="1" x14ac:dyDescent="0.3">
      <c r="F65" s="208" t="s">
        <v>65</v>
      </c>
      <c r="G65" s="221">
        <f t="shared" ref="G65:G70" si="8" xml:space="preserve"> SUMIF($G$21:$G$34, +F65,$V$21:$V$34)</f>
        <v>0</v>
      </c>
      <c r="H65" s="220">
        <f t="shared" ref="H65:H70" si="9">+G65/$G$61</f>
        <v>0</v>
      </c>
    </row>
    <row r="66" spans="2:10" ht="20" customHeight="1" x14ac:dyDescent="0.3">
      <c r="F66" s="208" t="s">
        <v>66</v>
      </c>
      <c r="G66" s="221">
        <f t="shared" si="8"/>
        <v>0</v>
      </c>
      <c r="H66" s="220">
        <f t="shared" si="9"/>
        <v>0</v>
      </c>
    </row>
    <row r="67" spans="2:10" ht="20" customHeight="1" x14ac:dyDescent="0.3">
      <c r="F67" s="208" t="s">
        <v>67</v>
      </c>
      <c r="G67" s="221">
        <f t="shared" si="8"/>
        <v>0</v>
      </c>
      <c r="H67" s="220">
        <f t="shared" si="9"/>
        <v>0</v>
      </c>
    </row>
    <row r="68" spans="2:10" ht="20" customHeight="1" x14ac:dyDescent="0.3">
      <c r="F68" s="208" t="s">
        <v>68</v>
      </c>
      <c r="G68" s="221">
        <f t="shared" si="8"/>
        <v>0</v>
      </c>
      <c r="H68" s="220">
        <f t="shared" si="9"/>
        <v>0</v>
      </c>
    </row>
    <row r="69" spans="2:10" ht="20" customHeight="1" x14ac:dyDescent="0.3">
      <c r="F69" s="208" t="s">
        <v>69</v>
      </c>
      <c r="G69" s="221">
        <f t="shared" si="8"/>
        <v>0</v>
      </c>
      <c r="H69" s="220">
        <f t="shared" si="9"/>
        <v>0</v>
      </c>
    </row>
    <row r="70" spans="2:10" ht="20" customHeight="1" x14ac:dyDescent="0.3">
      <c r="F70" s="208" t="s">
        <v>70</v>
      </c>
      <c r="G70" s="221">
        <f t="shared" si="8"/>
        <v>0</v>
      </c>
      <c r="H70" s="220">
        <f t="shared" si="9"/>
        <v>0</v>
      </c>
    </row>
    <row r="71" spans="2:10" ht="20" customHeight="1" x14ac:dyDescent="0.3">
      <c r="F71" s="208" t="s">
        <v>146</v>
      </c>
      <c r="G71" s="223">
        <f>+SUM(G65:G70)</f>
        <v>0</v>
      </c>
      <c r="H71" s="220">
        <f>+G71/($G$61*$D$60)</f>
        <v>0</v>
      </c>
    </row>
    <row r="72" spans="2:10" ht="13.5" thickBot="1" x14ac:dyDescent="0.35"/>
    <row r="73" spans="2:10" ht="30" customHeight="1" thickBot="1" x14ac:dyDescent="0.35">
      <c r="B73" s="191"/>
      <c r="C73" s="446" t="s">
        <v>107</v>
      </c>
      <c r="D73" s="446"/>
      <c r="E73" s="192"/>
      <c r="F73" s="192"/>
      <c r="G73" s="192"/>
      <c r="H73" s="192"/>
      <c r="I73" s="216"/>
      <c r="J73" s="193"/>
    </row>
    <row r="74" spans="2:10" ht="38" customHeight="1" x14ac:dyDescent="0.3">
      <c r="C74" s="208" t="s">
        <v>95</v>
      </c>
      <c r="D74" s="195">
        <f>SUMPRODUCT((LEFT(G21:G34, 5)="Scoop") / (COUNTIF(G21:G34, G21:G34 &amp; "") + (G21:G34="")))</f>
        <v>0</v>
      </c>
      <c r="E74" s="447" t="s">
        <v>90</v>
      </c>
      <c r="F74" s="447"/>
      <c r="G74" s="218">
        <v>0.20833333333333334</v>
      </c>
      <c r="I74" s="139"/>
      <c r="J74" s="190"/>
    </row>
    <row r="75" spans="2:10" ht="38" customHeight="1" x14ac:dyDescent="0.3">
      <c r="C75" s="208" t="s">
        <v>145</v>
      </c>
      <c r="D75" s="195">
        <v>4.9000000000000004</v>
      </c>
      <c r="E75" s="447" t="s">
        <v>97</v>
      </c>
      <c r="F75" s="447"/>
      <c r="G75" s="195">
        <f>15000/(60)</f>
        <v>250</v>
      </c>
      <c r="H75" s="219" t="s">
        <v>23</v>
      </c>
      <c r="I75" s="139"/>
      <c r="J75" s="190"/>
    </row>
    <row r="76" spans="2:10" ht="38" customHeight="1" x14ac:dyDescent="0.3">
      <c r="E76" s="448" t="s">
        <v>98</v>
      </c>
      <c r="F76" s="448"/>
      <c r="G76" s="207" t="e">
        <f>+SUM(SUMIF($G$21:$G$34, "Scoop*", $J$21:$J$34))/SUMPRODUCT((LEFT(G21:G34, 5)="Scoop") / (COUNTIF(G21:G34, G21:G34 &amp; "") + (G21:G34="")))</f>
        <v>#DIV/0!</v>
      </c>
      <c r="H76" s="220" t="e">
        <f>+G76*24/($G$74*24)</f>
        <v>#DIV/0!</v>
      </c>
      <c r="I76" s="190"/>
      <c r="J76" s="190"/>
    </row>
    <row r="77" spans="2:10" ht="38" customHeight="1" x14ac:dyDescent="0.3">
      <c r="E77" s="448" t="s">
        <v>99</v>
      </c>
      <c r="F77" s="448"/>
      <c r="G77" s="221" t="e">
        <f>+SUM(W21:W34)*D75/D74</f>
        <v>#DIV/0!</v>
      </c>
      <c r="H77" s="220" t="e">
        <f>+G77/G75</f>
        <v>#DIV/0!</v>
      </c>
      <c r="I77" s="190"/>
      <c r="J77" s="190"/>
    </row>
    <row r="78" spans="2:10" ht="38" customHeight="1" x14ac:dyDescent="0.3">
      <c r="G78" s="222" t="s">
        <v>96</v>
      </c>
      <c r="H78" s="139" t="s">
        <v>23</v>
      </c>
    </row>
    <row r="79" spans="2:10" ht="20" customHeight="1" x14ac:dyDescent="0.3">
      <c r="F79" s="208" t="s">
        <v>71</v>
      </c>
      <c r="G79" s="221">
        <f t="shared" ref="G79:G84" si="10" xml:space="preserve"> SUMIF($G$21:$G$34, +F79,$W$21:$W$34)*$D$75</f>
        <v>0</v>
      </c>
      <c r="H79" s="220">
        <f>+G79/$G$75</f>
        <v>0</v>
      </c>
    </row>
    <row r="80" spans="2:10" ht="20" customHeight="1" x14ac:dyDescent="0.3">
      <c r="F80" s="208" t="s">
        <v>72</v>
      </c>
      <c r="G80" s="221">
        <f t="shared" si="10"/>
        <v>0</v>
      </c>
      <c r="H80" s="220">
        <f t="shared" ref="H80:H85" si="11">+G80/$G$75</f>
        <v>0</v>
      </c>
    </row>
    <row r="81" spans="2:10" ht="20" customHeight="1" x14ac:dyDescent="0.3">
      <c r="F81" s="208" t="s">
        <v>73</v>
      </c>
      <c r="G81" s="221">
        <f t="shared" si="10"/>
        <v>0</v>
      </c>
      <c r="H81" s="220">
        <f t="shared" si="11"/>
        <v>0</v>
      </c>
    </row>
    <row r="82" spans="2:10" ht="20" customHeight="1" x14ac:dyDescent="0.3">
      <c r="F82" s="208" t="s">
        <v>74</v>
      </c>
      <c r="G82" s="221">
        <f t="shared" si="10"/>
        <v>0</v>
      </c>
      <c r="H82" s="220">
        <f t="shared" si="11"/>
        <v>0</v>
      </c>
    </row>
    <row r="83" spans="2:10" ht="20" customHeight="1" x14ac:dyDescent="0.3">
      <c r="F83" s="208" t="s">
        <v>75</v>
      </c>
      <c r="G83" s="221">
        <f t="shared" si="10"/>
        <v>0</v>
      </c>
      <c r="H83" s="220">
        <f t="shared" si="11"/>
        <v>0</v>
      </c>
    </row>
    <row r="84" spans="2:10" ht="20" customHeight="1" x14ac:dyDescent="0.3">
      <c r="F84" s="208" t="s">
        <v>76</v>
      </c>
      <c r="G84" s="221">
        <f t="shared" si="10"/>
        <v>0</v>
      </c>
      <c r="H84" s="220">
        <f t="shared" si="11"/>
        <v>0</v>
      </c>
    </row>
    <row r="85" spans="2:10" ht="20" customHeight="1" x14ac:dyDescent="0.3">
      <c r="F85" s="208" t="s">
        <v>146</v>
      </c>
      <c r="G85" s="223">
        <f>+SUM(G79:G84)</f>
        <v>0</v>
      </c>
      <c r="H85" s="220">
        <f t="shared" si="11"/>
        <v>0</v>
      </c>
    </row>
    <row r="86" spans="2:10" ht="13.5" thickBot="1" x14ac:dyDescent="0.35"/>
    <row r="87" spans="2:10" ht="30" customHeight="1" thickBot="1" x14ac:dyDescent="0.35">
      <c r="B87" s="191"/>
      <c r="C87" s="446" t="s">
        <v>149</v>
      </c>
      <c r="D87" s="446"/>
      <c r="E87" s="192"/>
      <c r="F87" s="192"/>
      <c r="G87" s="192"/>
      <c r="H87" s="192"/>
      <c r="I87" s="216"/>
      <c r="J87" s="193"/>
    </row>
    <row r="88" spans="2:10" ht="25.25" customHeight="1" x14ac:dyDescent="0.3">
      <c r="C88" s="208" t="s">
        <v>150</v>
      </c>
      <c r="D88" s="195">
        <f>SUMPRODUCT((LEFT(G21:G34, 8)="Roboshot") / (COUNTIF(G21:G34, G21:G34 &amp; "") + (G21:G34="")))</f>
        <v>0</v>
      </c>
      <c r="E88" s="447" t="s">
        <v>90</v>
      </c>
      <c r="F88" s="447"/>
      <c r="G88" s="218">
        <v>0.20833333333333334</v>
      </c>
    </row>
    <row r="89" spans="2:10" x14ac:dyDescent="0.3">
      <c r="C89" s="208"/>
      <c r="D89" s="195"/>
      <c r="E89" s="447" t="s">
        <v>97</v>
      </c>
      <c r="F89" s="447"/>
      <c r="G89" s="195">
        <v>12</v>
      </c>
      <c r="H89" s="219" t="s">
        <v>23</v>
      </c>
    </row>
    <row r="91" spans="2:10" x14ac:dyDescent="0.3">
      <c r="G91" s="222" t="s">
        <v>96</v>
      </c>
      <c r="H91" s="139" t="s">
        <v>23</v>
      </c>
    </row>
    <row r="92" spans="2:10" x14ac:dyDescent="0.3">
      <c r="F92" s="208" t="s">
        <v>77</v>
      </c>
      <c r="G92" s="221">
        <f xml:space="preserve"> SUMIF($G$21:$G$34, +F92,$X$21:$X$34)</f>
        <v>0</v>
      </c>
      <c r="H92" s="220">
        <f>+G92/$G$89</f>
        <v>0</v>
      </c>
    </row>
    <row r="93" spans="2:10" x14ac:dyDescent="0.3">
      <c r="F93" s="208" t="s">
        <v>78</v>
      </c>
      <c r="G93" s="221">
        <f xml:space="preserve"> SUMIF($G$21:$G$34, +F93,$X$21:$X$34)</f>
        <v>0</v>
      </c>
      <c r="H93" s="220">
        <f t="shared" ref="H93:H94" si="12">+G93/$G$89</f>
        <v>0</v>
      </c>
    </row>
    <row r="94" spans="2:10" x14ac:dyDescent="0.3">
      <c r="F94" s="208" t="s">
        <v>79</v>
      </c>
      <c r="G94" s="221">
        <f xml:space="preserve"> SUMIF($G$21:$G$34, +F94,$X$21:$X$34)</f>
        <v>0</v>
      </c>
      <c r="H94" s="220">
        <f t="shared" si="12"/>
        <v>0</v>
      </c>
    </row>
    <row r="95" spans="2:10" x14ac:dyDescent="0.3">
      <c r="F95" s="208" t="s">
        <v>146</v>
      </c>
      <c r="G95" s="223">
        <f>+SUM(G92:G94)</f>
        <v>0</v>
      </c>
      <c r="H95" s="220">
        <f>+G95/$G$89</f>
        <v>0</v>
      </c>
    </row>
  </sheetData>
  <mergeCells count="41">
    <mergeCell ref="E89:F89"/>
    <mergeCell ref="C73:D73"/>
    <mergeCell ref="E74:F74"/>
    <mergeCell ref="E75:F75"/>
    <mergeCell ref="E76:F76"/>
    <mergeCell ref="E77:F77"/>
    <mergeCell ref="C87:D87"/>
    <mergeCell ref="C59:D59"/>
    <mergeCell ref="E60:F60"/>
    <mergeCell ref="E61:F61"/>
    <mergeCell ref="E62:F62"/>
    <mergeCell ref="E88:F88"/>
    <mergeCell ref="E63:F63"/>
    <mergeCell ref="E48:G48"/>
    <mergeCell ref="E49:G49"/>
    <mergeCell ref="E50:G50"/>
    <mergeCell ref="E51:G51"/>
    <mergeCell ref="E53:G53"/>
    <mergeCell ref="E54:G54"/>
    <mergeCell ref="E55:G55"/>
    <mergeCell ref="E47:G47"/>
    <mergeCell ref="K9:L9"/>
    <mergeCell ref="K10:L10"/>
    <mergeCell ref="K11:L11"/>
    <mergeCell ref="K12:L12"/>
    <mergeCell ref="B14:S14"/>
    <mergeCell ref="C39:D39"/>
    <mergeCell ref="G39:H39"/>
    <mergeCell ref="I39:J39"/>
    <mergeCell ref="K39:L39"/>
    <mergeCell ref="E40:F40"/>
    <mergeCell ref="E41:F41"/>
    <mergeCell ref="E42:F42"/>
    <mergeCell ref="E45:G45"/>
    <mergeCell ref="E46:G46"/>
    <mergeCell ref="K8:L8"/>
    <mergeCell ref="B1:D4"/>
    <mergeCell ref="E2:R2"/>
    <mergeCell ref="E3:R4"/>
    <mergeCell ref="K6:L6"/>
    <mergeCell ref="K7:L7"/>
  </mergeCells>
  <conditionalFormatting sqref="H41:H42 J41:J42">
    <cfRule type="cellIs" dxfId="461" priority="13" operator="greaterThan">
      <formula>0.9</formula>
    </cfRule>
    <cfRule type="cellIs" dxfId="460" priority="14" operator="between">
      <formula>0.81</formula>
      <formula>0.89</formula>
    </cfRule>
    <cfRule type="cellIs" dxfId="459" priority="15" operator="lessThan">
      <formula>0.8</formula>
    </cfRule>
  </conditionalFormatting>
  <conditionalFormatting sqref="H62:H63">
    <cfRule type="cellIs" dxfId="458" priority="16" operator="greaterThan">
      <formula>0.9</formula>
    </cfRule>
    <cfRule type="cellIs" dxfId="457" priority="17" operator="between">
      <formula>0.81</formula>
      <formula>0.89</formula>
    </cfRule>
    <cfRule type="cellIs" dxfId="456" priority="18" operator="lessThan">
      <formula>0.8</formula>
    </cfRule>
  </conditionalFormatting>
  <conditionalFormatting sqref="H65:H71">
    <cfRule type="cellIs" dxfId="455" priority="19" operator="greaterThan">
      <formula>0.9</formula>
    </cfRule>
    <cfRule type="cellIs" dxfId="454" priority="20" operator="between">
      <formula>0.81</formula>
      <formula>0.89</formula>
    </cfRule>
    <cfRule type="cellIs" dxfId="453" priority="21" operator="lessThan">
      <formula>0.8</formula>
    </cfRule>
  </conditionalFormatting>
  <conditionalFormatting sqref="H76:H77">
    <cfRule type="cellIs" dxfId="452" priority="7" operator="greaterThan">
      <formula>0.9</formula>
    </cfRule>
    <cfRule type="cellIs" dxfId="451" priority="8" operator="between">
      <formula>0.81</formula>
      <formula>0.89</formula>
    </cfRule>
    <cfRule type="cellIs" dxfId="450" priority="9" operator="lessThan">
      <formula>0.8</formula>
    </cfRule>
  </conditionalFormatting>
  <conditionalFormatting sqref="H79:H85">
    <cfRule type="cellIs" dxfId="449" priority="10" operator="greaterThan">
      <formula>0.9</formula>
    </cfRule>
    <cfRule type="cellIs" dxfId="448" priority="11" operator="between">
      <formula>0.81</formula>
      <formula>0.89</formula>
    </cfRule>
    <cfRule type="cellIs" dxfId="447" priority="12" operator="lessThan">
      <formula>0.8</formula>
    </cfRule>
  </conditionalFormatting>
  <conditionalFormatting sqref="H92:H95">
    <cfRule type="cellIs" dxfId="446" priority="4" operator="greaterThan">
      <formula>0.9</formula>
    </cfRule>
    <cfRule type="cellIs" dxfId="445" priority="5" operator="between">
      <formula>0.81</formula>
      <formula>0.89</formula>
    </cfRule>
    <cfRule type="cellIs" dxfId="444" priority="6" operator="lessThan">
      <formula>0.8</formula>
    </cfRule>
  </conditionalFormatting>
  <conditionalFormatting sqref="L41:L42">
    <cfRule type="cellIs" dxfId="443" priority="1" operator="greaterThan">
      <formula>0.9</formula>
    </cfRule>
    <cfRule type="cellIs" dxfId="442" priority="2" operator="between">
      <formula>0.81</formula>
      <formula>0.89</formula>
    </cfRule>
    <cfRule type="cellIs" dxfId="441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7108A30-F73C-480A-BB57-C0BCD2F29A39}">
          <x14:formula1>
            <xm:f>Datos!$F$3:$F$41</xm:f>
          </x14:formula1>
          <xm:sqref>G29:G37 G21:G26</xm:sqref>
        </x14:dataValidation>
        <x14:dataValidation type="list" allowBlank="1" showInputMessage="1" showErrorMessage="1" xr:uid="{E502D510-9EB0-4AD6-8BF5-0BF6DFEB1015}">
          <x14:formula1>
            <xm:f>Datos!$W$3:$W$12</xm:f>
          </x14:formula1>
          <xm:sqref>L29:L37 L21:L26</xm:sqref>
        </x14:dataValidation>
        <x14:dataValidation type="list" allowBlank="1" showInputMessage="1" showErrorMessage="1" xr:uid="{76BC9780-BC9A-4F43-B08D-1492E11A2546}">
          <x14:formula1>
            <xm:f>Datos!$D$3:$D$27</xm:f>
          </x14:formula1>
          <xm:sqref>F29:F37 F21:F26</xm:sqref>
        </x14:dataValidation>
        <x14:dataValidation type="list" allowBlank="1" showInputMessage="1" showErrorMessage="1" xr:uid="{3AB6849D-2314-4DA2-A263-2450A395F884}">
          <x14:formula1>
            <xm:f>Datos!$B$3:$B$8</xm:f>
          </x14:formula1>
          <xm:sqref>E29:E37 E21:E26</xm:sqref>
        </x14:dataValidation>
        <x14:dataValidation type="list" allowBlank="1" showInputMessage="1" showErrorMessage="1" xr:uid="{BFB13137-B714-42B8-A1C5-59A85C107F52}">
          <x14:formula1>
            <xm:f>Datos!$H$3:$H$34</xm:f>
          </x14:formula1>
          <xm:sqref>D29:D36 D21:D25</xm:sqref>
        </x14:dataValidation>
        <x14:dataValidation type="list" allowBlank="1" showInputMessage="1" showErrorMessage="1" xr:uid="{9A771A57-2EAE-47DF-9CF4-E4CDABFC2399}">
          <x14:formula1>
            <xm:f>Datos!$H$3:$H$26</xm:f>
          </x14:formula1>
          <xm:sqref>D26 D37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1F9E-5454-4F5F-B0F6-35EB720D7FFA}">
  <sheetPr>
    <pageSetUpPr fitToPage="1"/>
  </sheetPr>
  <dimension ref="B1:X95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E45" sqref="E45:G55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+G41</f>
        <v>0.36805555555555558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+H42</f>
        <v>0.71666666666666667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110</v>
      </c>
      <c r="E21" s="172" t="s">
        <v>6</v>
      </c>
      <c r="F21" s="172" t="s">
        <v>165</v>
      </c>
      <c r="G21" s="172"/>
      <c r="H21" s="174">
        <v>0.82291666666666663</v>
      </c>
      <c r="I21" s="174">
        <v>0.84375</v>
      </c>
      <c r="J21" s="175">
        <f t="shared" ref="J21:J24" si="0">MOD(I21-H21, 1)</f>
        <v>2.083333333333337E-2</v>
      </c>
      <c r="K21" s="178"/>
      <c r="L21" s="177"/>
      <c r="M21" s="178"/>
      <c r="N21" s="179">
        <v>1</v>
      </c>
      <c r="O21" s="186"/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172</v>
      </c>
      <c r="E22" s="172" t="s">
        <v>6</v>
      </c>
      <c r="F22" s="172" t="s">
        <v>165</v>
      </c>
      <c r="G22" s="172"/>
      <c r="H22" s="174">
        <v>0.84722222222222221</v>
      </c>
      <c r="I22" s="174">
        <v>0.90625</v>
      </c>
      <c r="J22" s="175">
        <f t="shared" si="0"/>
        <v>5.902777777777779E-2</v>
      </c>
      <c r="K22" s="178"/>
      <c r="L22" s="177"/>
      <c r="M22" s="178"/>
      <c r="N22" s="179">
        <v>1</v>
      </c>
      <c r="O22" s="225"/>
      <c r="P22" s="181"/>
      <c r="Q22" s="174"/>
      <c r="R22" s="172"/>
      <c r="S22" s="175">
        <f t="shared" ref="S22:S26" si="1">+MOD(R22-Q22,1)</f>
        <v>0</v>
      </c>
      <c r="U22" s="182">
        <f>+IFERROR(VLOOKUP(D22,Datos!$R$3:$T$19,3,FALSE), "0")*N22</f>
        <v>0</v>
      </c>
      <c r="V22" s="183" t="str">
        <f t="shared" ref="V22:V26" si="2">IF(OR(D22="Perforación de Fortificación", D22="Perforación de Avance", D22="Perforación Desquinche"), K22*M22, "")</f>
        <v/>
      </c>
      <c r="W22" s="183" t="str">
        <f t="shared" ref="W22:W26" si="3">IF(D22="Extracción de Marina Disparo",K22,"")</f>
        <v/>
      </c>
      <c r="X22" s="183" t="str">
        <f t="shared" ref="X22:X26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63</v>
      </c>
      <c r="E23" s="172" t="s">
        <v>6</v>
      </c>
      <c r="F23" s="172" t="s">
        <v>165</v>
      </c>
      <c r="G23" s="172" t="s">
        <v>203</v>
      </c>
      <c r="H23" s="174">
        <v>0.91319444444444442</v>
      </c>
      <c r="I23" s="174">
        <v>0.10416666666666667</v>
      </c>
      <c r="J23" s="175">
        <f t="shared" si="0"/>
        <v>0.19097222222222221</v>
      </c>
      <c r="K23" s="178">
        <v>28</v>
      </c>
      <c r="L23" s="177" t="s">
        <v>138</v>
      </c>
      <c r="M23" s="178">
        <v>4</v>
      </c>
      <c r="N23" s="179">
        <v>0.15</v>
      </c>
      <c r="O23" s="186" t="s">
        <v>454</v>
      </c>
      <c r="P23" s="181"/>
      <c r="Q23" s="174"/>
      <c r="R23" s="172"/>
      <c r="S23" s="175">
        <f t="shared" si="1"/>
        <v>0</v>
      </c>
      <c r="U23" s="182">
        <f>+IFERROR(VLOOKUP(D23,Datos!$R$3:$T$19,3,FALSE), "0")*N23</f>
        <v>2.0279520821448942E-2</v>
      </c>
      <c r="V23" s="183">
        <f t="shared" si="2"/>
        <v>112</v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63</v>
      </c>
      <c r="E24" s="172" t="s">
        <v>6</v>
      </c>
      <c r="F24" s="172" t="s">
        <v>165</v>
      </c>
      <c r="G24" s="172" t="s">
        <v>203</v>
      </c>
      <c r="H24" s="174">
        <v>0.14583333333333334</v>
      </c>
      <c r="I24" s="174">
        <v>0.24305555555555555</v>
      </c>
      <c r="J24" s="175">
        <f t="shared" si="0"/>
        <v>9.722222222222221E-2</v>
      </c>
      <c r="K24" s="178"/>
      <c r="L24" s="177"/>
      <c r="M24" s="178"/>
      <c r="N24" s="179"/>
      <c r="O24" s="186" t="s">
        <v>455</v>
      </c>
      <c r="P24" s="181"/>
      <c r="Q24" s="174"/>
      <c r="R24" s="174"/>
      <c r="S24" s="175"/>
      <c r="U24" s="182"/>
      <c r="V24" s="183"/>
      <c r="W24" s="183"/>
      <c r="X24" s="183"/>
    </row>
    <row r="25" spans="2:24" ht="37.75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186"/>
      <c r="P25" s="181"/>
      <c r="Q25" s="174"/>
      <c r="R25" s="174"/>
      <c r="S25" s="175"/>
      <c r="U25" s="182"/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 t="s">
        <v>329</v>
      </c>
      <c r="J26" s="175">
        <f>MOD(I24-H21, 1)</f>
        <v>0.42013888888888895</v>
      </c>
      <c r="K26" s="178"/>
      <c r="L26" s="177"/>
      <c r="M26" s="178"/>
      <c r="N26" s="179"/>
      <c r="O26" s="186" t="s">
        <v>436</v>
      </c>
      <c r="P26" s="172"/>
      <c r="Q26" s="172"/>
      <c r="R26" s="172"/>
      <c r="S26" s="175">
        <f t="shared" si="1"/>
        <v>0</v>
      </c>
      <c r="U26" s="182">
        <f>SUM(U21:U25)</f>
        <v>2.0279520821448942E-2</v>
      </c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 t="s">
        <v>110</v>
      </c>
      <c r="E29" s="172" t="s">
        <v>6</v>
      </c>
      <c r="F29" s="172" t="s">
        <v>166</v>
      </c>
      <c r="G29" s="172"/>
      <c r="H29" s="174">
        <v>0.83333333333333337</v>
      </c>
      <c r="I29" s="174">
        <v>1.3333333333333333</v>
      </c>
      <c r="J29" s="175">
        <f>I29-H29</f>
        <v>0.49999999999999989</v>
      </c>
      <c r="K29" s="178"/>
      <c r="L29" s="177"/>
      <c r="M29" s="178"/>
      <c r="N29" s="179">
        <v>1</v>
      </c>
      <c r="O29" s="186" t="s">
        <v>428</v>
      </c>
      <c r="P29" s="225"/>
      <c r="Q29" s="174"/>
      <c r="R29" s="174"/>
      <c r="S29" s="175"/>
      <c r="U29" s="187">
        <f>+IFERROR(VLOOKUP(D29,Datos!$R$24:$T$40,3,FALSE), "0")*N29</f>
        <v>0</v>
      </c>
      <c r="V29" s="183" t="str">
        <f t="shared" ref="V29:V37" si="5">IF(OR(D29="Perforación de Fortificación", D29="Perforación de Avance", D29="Perforación Desquinche"), K29*M29, "")</f>
        <v/>
      </c>
      <c r="W29" s="183" t="str">
        <f>IF(D29="Extracción de Marina Disparo",K29,"")</f>
        <v/>
      </c>
      <c r="X29" s="183" t="str">
        <f t="shared" ref="X29:X37" si="6">IF(OR(D29="Shotcrete", D29="Pre Shotcrete"), K29, "")</f>
        <v/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73"/>
      <c r="Q30" s="174"/>
      <c r="R30" s="174"/>
      <c r="S30" s="175"/>
      <c r="U30" s="187">
        <f>+IFERROR(VLOOKUP(D30,Datos!$R$24:$T$40,3,FALSE), "0")*N30</f>
        <v>0</v>
      </c>
      <c r="V30" s="183" t="str">
        <f t="shared" si="5"/>
        <v/>
      </c>
      <c r="W30" s="183" t="str">
        <f>IF(D30="Extracción de Marina Disparo",K30,"")</f>
        <v/>
      </c>
      <c r="X30" s="183" t="str">
        <f t="shared" si="6"/>
        <v/>
      </c>
    </row>
    <row r="31" spans="2:24" ht="53.4" customHeight="1" x14ac:dyDescent="0.3">
      <c r="B31" s="172">
        <v>3700</v>
      </c>
      <c r="C31" s="173" t="str">
        <f>+C29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81"/>
      <c r="Q31" s="174"/>
      <c r="R31" s="174"/>
      <c r="S31" s="175"/>
      <c r="U31" s="187">
        <f>+IFERROR(VLOOKUP(D31,Datos!$R$24:$T$40,3,FALSE), "0")*N31</f>
        <v>0</v>
      </c>
      <c r="V31" s="183" t="str">
        <f t="shared" si="5"/>
        <v/>
      </c>
      <c r="W31" s="183" t="str">
        <f t="shared" ref="W31:W37" si="7">IF(D31="Extracción de Marina Disparo",K31,"")</f>
        <v/>
      </c>
      <c r="X31" s="183" t="str">
        <f t="shared" si="6"/>
        <v/>
      </c>
    </row>
    <row r="32" spans="2:24" ht="38" customHeight="1" x14ac:dyDescent="0.3">
      <c r="B32" s="172">
        <v>3700</v>
      </c>
      <c r="C32" s="173" t="s">
        <v>397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72"/>
      <c r="Q32" s="172"/>
      <c r="R32" s="172"/>
      <c r="S32" s="175"/>
      <c r="U32" s="187">
        <f>+IFERROR(VLOOKUP(D32,Datos!$R$24:$T$40,3,FALSE), "0")*N32</f>
        <v>0</v>
      </c>
      <c r="V32" s="183" t="str">
        <f t="shared" si="5"/>
        <v/>
      </c>
      <c r="W32" s="183" t="str">
        <f t="shared" si="7"/>
        <v/>
      </c>
      <c r="X32" s="183"/>
    </row>
    <row r="33" spans="2:24" ht="38" customHeight="1" x14ac:dyDescent="0.3">
      <c r="B33" s="172">
        <v>3700</v>
      </c>
      <c r="C33" s="173" t="str">
        <f>+C32</f>
        <v>Fróntón Bodega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81"/>
      <c r="Q33" s="174"/>
      <c r="R33" s="174"/>
      <c r="S33" s="175"/>
      <c r="U33" s="187">
        <f>+IFERROR(VLOOKUP(D33,Datos!$R$24:$T$40,3,FALSE), "0")*N33</f>
        <v>0</v>
      </c>
      <c r="V33" s="183" t="str">
        <f t="shared" si="5"/>
        <v/>
      </c>
      <c r="W33" s="183" t="str">
        <f t="shared" si="7"/>
        <v/>
      </c>
      <c r="X33" s="183" t="str">
        <f t="shared" si="6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225"/>
      <c r="P34" s="172"/>
      <c r="Q34" s="172"/>
      <c r="R34" s="172"/>
      <c r="S34" s="175">
        <f t="shared" ref="S34:S37" si="8">+MOD(R34-Q34,1)</f>
        <v>0</v>
      </c>
      <c r="U34" s="187">
        <f>+IFERROR(VLOOKUP(D34,Datos!$R$24:$T$40,3,FALSE), "0")*N34</f>
        <v>0</v>
      </c>
      <c r="V34" s="183" t="str">
        <f t="shared" si="5"/>
        <v/>
      </c>
      <c r="W34" s="183" t="str">
        <f t="shared" si="7"/>
        <v/>
      </c>
      <c r="X34" s="183" t="str">
        <f t="shared" si="6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8"/>
        <v>0</v>
      </c>
      <c r="U35" s="187"/>
      <c r="V35" s="183" t="str">
        <f t="shared" si="5"/>
        <v/>
      </c>
      <c r="W35" s="183" t="str">
        <f t="shared" si="7"/>
        <v/>
      </c>
      <c r="X35" s="183" t="str">
        <f t="shared" si="6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8"/>
        <v>0</v>
      </c>
      <c r="U36" s="187"/>
      <c r="V36" s="183" t="str">
        <f t="shared" si="5"/>
        <v/>
      </c>
      <c r="W36" s="183" t="str">
        <f t="shared" si="7"/>
        <v/>
      </c>
      <c r="X36" s="183" t="str">
        <f t="shared" si="6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 t="s">
        <v>329</v>
      </c>
      <c r="J37" s="175"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8"/>
        <v>0</v>
      </c>
      <c r="U37" s="182">
        <f>SUM(U29:U36)</f>
        <v>0</v>
      </c>
      <c r="V37" s="183" t="str">
        <f t="shared" si="5"/>
        <v/>
      </c>
      <c r="W37" s="183" t="str">
        <f t="shared" si="7"/>
        <v/>
      </c>
      <c r="X37" s="183" t="str">
        <f t="shared" si="6"/>
        <v/>
      </c>
    </row>
    <row r="38" spans="2:24" ht="15.65" customHeight="1" thickBot="1" x14ac:dyDescent="0.35">
      <c r="B38" s="190"/>
      <c r="C38" s="190"/>
      <c r="D38" s="190"/>
      <c r="E38" s="190"/>
      <c r="F38" s="190"/>
      <c r="G38" s="190"/>
      <c r="H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</row>
    <row r="39" spans="2:24" ht="30" customHeight="1" thickBot="1" x14ac:dyDescent="0.35">
      <c r="B39" s="191"/>
      <c r="C39" s="446" t="s">
        <v>64</v>
      </c>
      <c r="D39" s="446"/>
      <c r="E39" s="192"/>
      <c r="F39" s="192"/>
      <c r="G39" s="431">
        <v>3500</v>
      </c>
      <c r="H39" s="432"/>
      <c r="I39" s="431">
        <v>3700</v>
      </c>
      <c r="J39" s="432"/>
      <c r="K39" s="433" t="s">
        <v>146</v>
      </c>
      <c r="L39" s="434"/>
      <c r="M39" s="190"/>
      <c r="N39" s="190"/>
      <c r="O39" s="190"/>
      <c r="P39" s="190"/>
      <c r="Q39" s="190"/>
      <c r="R39" s="190"/>
      <c r="S39" s="190"/>
    </row>
    <row r="40" spans="2:24" ht="30" customHeight="1" x14ac:dyDescent="0.3">
      <c r="C40" s="194" t="s">
        <v>48</v>
      </c>
      <c r="D40" s="195">
        <f>SUMPRODUCT((LEFT(F21:F34, 1)="C") / (COUNTIF(F21:F34, F21:F34 &amp; "") + (F21:F34="")))</f>
        <v>0</v>
      </c>
      <c r="E40" s="447" t="s">
        <v>90</v>
      </c>
      <c r="F40" s="447"/>
      <c r="G40" s="196">
        <v>0.26041666666666669</v>
      </c>
      <c r="H40" s="197" t="s">
        <v>23</v>
      </c>
      <c r="I40" s="196">
        <v>0.26041666666666669</v>
      </c>
      <c r="J40" s="197" t="s">
        <v>23</v>
      </c>
      <c r="K40" s="198">
        <f>+G40</f>
        <v>0.26041666666666669</v>
      </c>
      <c r="L40" s="197" t="s">
        <v>23</v>
      </c>
      <c r="M40" s="190"/>
      <c r="N40" s="190"/>
      <c r="O40" s="190"/>
      <c r="P40" s="190"/>
      <c r="Q40" s="190"/>
      <c r="R40" s="190"/>
      <c r="S40" s="190"/>
    </row>
    <row r="41" spans="2:24" x14ac:dyDescent="0.3">
      <c r="C41" s="194" t="s">
        <v>49</v>
      </c>
      <c r="D41" s="195">
        <f>SUMPRODUCT((LEFT(F21:F34, 1)="O") / (COUNTIF(F21:F34, F21:F34 &amp; "") + (F21:F34="")))</f>
        <v>0</v>
      </c>
      <c r="E41" s="448" t="s">
        <v>198</v>
      </c>
      <c r="F41" s="448"/>
      <c r="G41" s="199">
        <f>SUM(J21:J25)</f>
        <v>0.36805555555555558</v>
      </c>
      <c r="H41" s="200">
        <f>+G41*24/($G$40*24)</f>
        <v>1.4133333333333333</v>
      </c>
      <c r="I41" s="199">
        <f>SUM(J29:J34)</f>
        <v>0.49999999999999989</v>
      </c>
      <c r="J41" s="200">
        <f>+I41*24/($I$40*24)</f>
        <v>1.9199999999999995</v>
      </c>
      <c r="K41" s="201">
        <f>AVERAGE(G41+I41)/2</f>
        <v>0.43402777777777773</v>
      </c>
      <c r="L41" s="200">
        <f>+K41*24/($K$40*24)</f>
        <v>1.6666666666666665</v>
      </c>
      <c r="M41" s="190"/>
      <c r="N41" s="190"/>
      <c r="O41" s="190"/>
      <c r="P41" s="190"/>
      <c r="Q41" s="190"/>
      <c r="R41" s="190"/>
      <c r="S41" s="190"/>
    </row>
    <row r="42" spans="2:24" ht="43.25" customHeight="1" thickBot="1" x14ac:dyDescent="0.35">
      <c r="E42" s="448" t="s">
        <v>94</v>
      </c>
      <c r="F42" s="448"/>
      <c r="G42" s="202"/>
      <c r="H42" s="203">
        <f>+AVERAGE(N21:N26)</f>
        <v>0.71666666666666667</v>
      </c>
      <c r="I42" s="202"/>
      <c r="J42" s="203">
        <f>+AVERAGE(N29:N34)</f>
        <v>1</v>
      </c>
      <c r="K42" s="204"/>
      <c r="L42" s="203">
        <f>+AVERAGE(N21:N34)</f>
        <v>0.78749999999999998</v>
      </c>
    </row>
    <row r="43" spans="2:24" ht="43.25" customHeight="1" x14ac:dyDescent="0.3">
      <c r="E43" s="205"/>
      <c r="F43" s="205"/>
      <c r="G43" s="206"/>
      <c r="H43" s="206"/>
      <c r="I43" s="137"/>
      <c r="J43" s="137"/>
      <c r="K43" s="137"/>
      <c r="L43" s="137"/>
    </row>
    <row r="44" spans="2:24" ht="43.25" customHeight="1" x14ac:dyDescent="0.3">
      <c r="E44" s="194"/>
      <c r="F44" s="194"/>
      <c r="G44" s="207"/>
      <c r="H44" s="208" t="s">
        <v>24</v>
      </c>
      <c r="I44" s="208" t="s">
        <v>199</v>
      </c>
      <c r="J44" s="208" t="s">
        <v>201</v>
      </c>
      <c r="K44" s="208" t="s">
        <v>404</v>
      </c>
      <c r="L44" s="345" t="s">
        <v>484</v>
      </c>
      <c r="M44" s="345" t="s">
        <v>485</v>
      </c>
      <c r="N44" s="208"/>
    </row>
    <row r="45" spans="2:24" ht="14.5" x14ac:dyDescent="0.35">
      <c r="E45" s="445" t="s">
        <v>174</v>
      </c>
      <c r="F45" s="445"/>
      <c r="G45" s="445"/>
      <c r="H45" s="209">
        <f>+U37</f>
        <v>0</v>
      </c>
      <c r="I45" s="298">
        <f>+H45*$J$45*$K$45</f>
        <v>0</v>
      </c>
      <c r="J45" s="298">
        <v>6.6</v>
      </c>
      <c r="K45" s="246">
        <v>3.42</v>
      </c>
      <c r="L45" s="344">
        <v>56.080975609756102</v>
      </c>
      <c r="M45" s="344">
        <f>+L45*K45*H45</f>
        <v>0</v>
      </c>
    </row>
    <row r="46" spans="2:24" ht="14.4" customHeight="1" x14ac:dyDescent="0.35">
      <c r="E46" s="445" t="s">
        <v>224</v>
      </c>
      <c r="F46" s="445"/>
      <c r="G46" s="445"/>
      <c r="H46" s="209"/>
      <c r="I46" s="298">
        <f>+J46*K46</f>
        <v>0</v>
      </c>
      <c r="J46" s="298">
        <f>1892/1000000</f>
        <v>1.892E-3</v>
      </c>
      <c r="K46" s="246">
        <f>+((15*4.4)*2.72)*0</f>
        <v>0</v>
      </c>
      <c r="L46" s="346">
        <v>1.6919982016368774E-2</v>
      </c>
      <c r="M46" s="344">
        <f>+L46*K46</f>
        <v>0</v>
      </c>
    </row>
    <row r="47" spans="2:24" ht="14.4" customHeight="1" x14ac:dyDescent="0.35">
      <c r="E47" s="445" t="s">
        <v>359</v>
      </c>
      <c r="F47" s="445"/>
      <c r="G47" s="445"/>
      <c r="H47" s="209"/>
      <c r="I47" s="298">
        <f>+J47*K47</f>
        <v>0</v>
      </c>
      <c r="J47" s="298">
        <v>0.340368</v>
      </c>
      <c r="K47" s="246">
        <v>0</v>
      </c>
      <c r="L47" s="346">
        <v>2.2358937544867188</v>
      </c>
      <c r="M47" s="344">
        <f>+L47*K47</f>
        <v>0</v>
      </c>
    </row>
    <row r="48" spans="2:24" ht="14.4" customHeight="1" x14ac:dyDescent="0.35">
      <c r="E48" s="445" t="s">
        <v>376</v>
      </c>
      <c r="F48" s="445"/>
      <c r="G48" s="445"/>
      <c r="H48" s="209">
        <v>0</v>
      </c>
      <c r="I48" s="298">
        <f>+H48*$J$48*$K$48</f>
        <v>0</v>
      </c>
      <c r="J48" s="298">
        <f>23683234/1000000</f>
        <v>23.683233999999999</v>
      </c>
      <c r="K48" s="226">
        <v>0</v>
      </c>
      <c r="L48" s="346">
        <v>254.98967741935485</v>
      </c>
      <c r="M48" s="344">
        <f>+L48*K48*H48</f>
        <v>0</v>
      </c>
    </row>
    <row r="49" spans="2:13" ht="14.4" customHeight="1" x14ac:dyDescent="0.35">
      <c r="E49" s="445" t="s">
        <v>236</v>
      </c>
      <c r="F49" s="445"/>
      <c r="G49" s="445"/>
      <c r="H49" s="209"/>
      <c r="I49" s="298">
        <f>+J49*K49</f>
        <v>0</v>
      </c>
      <c r="J49" s="298">
        <f>25508/1000000</f>
        <v>2.5507999999999999E-2</v>
      </c>
      <c r="K49" s="246">
        <f>7/(0.05)*0</f>
        <v>0</v>
      </c>
      <c r="L49" s="347" t="s">
        <v>486</v>
      </c>
      <c r="M49" s="349"/>
    </row>
    <row r="50" spans="2:13" ht="14.4" customHeight="1" x14ac:dyDescent="0.35">
      <c r="E50" s="445" t="s">
        <v>451</v>
      </c>
      <c r="F50" s="445"/>
      <c r="G50" s="445"/>
      <c r="H50" s="209">
        <v>1</v>
      </c>
      <c r="I50" s="298">
        <f>H50*J50</f>
        <v>7.9892054999999997</v>
      </c>
      <c r="J50" s="298">
        <f>15978411/2000000</f>
        <v>7.9892054999999997</v>
      </c>
      <c r="K50" s="246"/>
      <c r="L50" s="347" t="s">
        <v>486</v>
      </c>
      <c r="M50" s="344"/>
    </row>
    <row r="51" spans="2:13" ht="14.4" customHeight="1" x14ac:dyDescent="0.35">
      <c r="E51" s="445" t="s">
        <v>298</v>
      </c>
      <c r="F51" s="445"/>
      <c r="G51" s="445"/>
      <c r="H51" s="209"/>
      <c r="I51" s="210">
        <f>SUM(I45:I50)</f>
        <v>7.9892054999999997</v>
      </c>
      <c r="J51" s="214"/>
      <c r="K51" s="246"/>
      <c r="L51" s="344"/>
      <c r="M51" s="344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/>
    </row>
    <row r="53" spans="2:13" ht="14.4" customHeight="1" x14ac:dyDescent="0.35">
      <c r="E53" s="445" t="s">
        <v>175</v>
      </c>
      <c r="F53" s="445"/>
      <c r="G53" s="445"/>
      <c r="H53" s="209">
        <f>+U26</f>
        <v>2.0279520821448942E-2</v>
      </c>
      <c r="I53" s="210">
        <f>+H53*$J$53*$K$53</f>
        <v>0.95719338277239019</v>
      </c>
      <c r="J53" s="211">
        <v>11.8</v>
      </c>
      <c r="K53" s="246">
        <v>4</v>
      </c>
      <c r="L53" s="344">
        <v>118.52055555555555</v>
      </c>
      <c r="M53" s="344">
        <f>+L53*K53*H53</f>
        <v>9.6141602966343385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0</v>
      </c>
      <c r="J54" s="296">
        <f>+J46*0</f>
        <v>0</v>
      </c>
      <c r="K54" s="215">
        <f>+((15*2.8)*2.72)*K25</f>
        <v>0</v>
      </c>
      <c r="L54" s="346">
        <v>1.6919982016368774E-2</v>
      </c>
      <c r="M54" s="344">
        <f>+L54*K54</f>
        <v>0</v>
      </c>
    </row>
    <row r="55" spans="2:13" ht="14.4" customHeight="1" x14ac:dyDescent="0.35">
      <c r="E55" s="445" t="s">
        <v>297</v>
      </c>
      <c r="F55" s="445"/>
      <c r="G55" s="445"/>
      <c r="H55" s="209"/>
      <c r="I55" s="210">
        <f>SUM(I53:I54)</f>
        <v>0.95719338277239019</v>
      </c>
      <c r="J55" s="214"/>
      <c r="K55" s="246"/>
      <c r="L55" s="347"/>
      <c r="M55" s="349"/>
    </row>
    <row r="56" spans="2:13" ht="14.4" customHeight="1" x14ac:dyDescent="0.3">
      <c r="E56" s="227"/>
      <c r="F56" s="227"/>
      <c r="G56" s="227"/>
      <c r="H56" s="209"/>
      <c r="I56" s="210"/>
      <c r="J56" s="214"/>
      <c r="K56" s="246"/>
      <c r="L56" s="213"/>
      <c r="M56" s="352">
        <f>SUM(M45:M55)</f>
        <v>9.6141602966343385</v>
      </c>
    </row>
    <row r="57" spans="2:13" ht="14.4" customHeight="1" x14ac:dyDescent="0.3">
      <c r="L57" s="213"/>
    </row>
    <row r="58" spans="2:13" ht="7.75" customHeight="1" thickBot="1" x14ac:dyDescent="0.35"/>
    <row r="59" spans="2:13" ht="30" customHeight="1" thickBot="1" x14ac:dyDescent="0.35">
      <c r="B59" s="191"/>
      <c r="C59" s="446" t="s">
        <v>88</v>
      </c>
      <c r="D59" s="446"/>
      <c r="E59" s="192"/>
      <c r="F59" s="192"/>
      <c r="G59" s="192"/>
      <c r="H59" s="192"/>
      <c r="I59" s="216"/>
      <c r="J59" s="193"/>
    </row>
    <row r="60" spans="2:13" ht="38" customHeight="1" x14ac:dyDescent="0.3">
      <c r="C60" s="217" t="s">
        <v>89</v>
      </c>
      <c r="D60" s="195">
        <f>SUMPRODUCT((LEFT(G21:G34, 5)="Jumbo") / (COUNTIF(G21:G34, G21:G34 &amp; "") + (G21:G34="")))</f>
        <v>1</v>
      </c>
      <c r="E60" s="447" t="s">
        <v>90</v>
      </c>
      <c r="F60" s="447"/>
      <c r="G60" s="218">
        <v>0.20833333333333334</v>
      </c>
      <c r="I60" s="139"/>
      <c r="J60" s="190"/>
    </row>
    <row r="61" spans="2:13" ht="38" customHeight="1" x14ac:dyDescent="0.3">
      <c r="E61" s="447" t="s">
        <v>93</v>
      </c>
      <c r="F61" s="447"/>
      <c r="G61" s="195">
        <f>15000/(60)</f>
        <v>250</v>
      </c>
      <c r="H61" s="219" t="s">
        <v>143</v>
      </c>
      <c r="I61" s="139"/>
      <c r="J61" s="190"/>
    </row>
    <row r="62" spans="2:13" ht="38" customHeight="1" x14ac:dyDescent="0.3">
      <c r="E62" s="448" t="s">
        <v>91</v>
      </c>
      <c r="F62" s="448"/>
      <c r="G62" s="207">
        <f>+SUM(SUMIF($G$21:$G$34, "Jumbo*", $J$21:$J$34))/SUMPRODUCT((LEFT(G21:G34, 5)="Jumbo") / (COUNTIF(G21:G34, G21:G34 &amp; "") + (G21:G34="")))</f>
        <v>0.28819444444444442</v>
      </c>
      <c r="H62" s="220">
        <f>+G62*24/($G$60*24)</f>
        <v>1.3833333333333333</v>
      </c>
      <c r="I62" s="190"/>
      <c r="J62" s="190"/>
    </row>
    <row r="63" spans="2:13" ht="38" customHeight="1" x14ac:dyDescent="0.3">
      <c r="E63" s="448" t="s">
        <v>92</v>
      </c>
      <c r="F63" s="448"/>
      <c r="G63" s="221">
        <f>+SUM(V21:V34)/D60</f>
        <v>112</v>
      </c>
      <c r="H63" s="220">
        <f>+G63/G61</f>
        <v>0.44800000000000001</v>
      </c>
      <c r="I63" s="190"/>
      <c r="J63" s="190"/>
    </row>
    <row r="64" spans="2:13" ht="38" customHeight="1" x14ac:dyDescent="0.3">
      <c r="G64" s="222" t="s">
        <v>87</v>
      </c>
      <c r="H64" s="139" t="s">
        <v>23</v>
      </c>
    </row>
    <row r="65" spans="2:10" ht="20" customHeight="1" x14ac:dyDescent="0.3">
      <c r="F65" s="208" t="s">
        <v>65</v>
      </c>
      <c r="G65" s="221">
        <f t="shared" ref="G65:G70" si="9" xml:space="preserve"> SUMIF($G$21:$G$34, +F65,$V$21:$V$34)</f>
        <v>0</v>
      </c>
      <c r="H65" s="220">
        <f t="shared" ref="H65:H70" si="10">+G65/$G$61</f>
        <v>0</v>
      </c>
    </row>
    <row r="66" spans="2:10" ht="20" customHeight="1" x14ac:dyDescent="0.3">
      <c r="F66" s="208" t="s">
        <v>66</v>
      </c>
      <c r="G66" s="221">
        <f t="shared" si="9"/>
        <v>0</v>
      </c>
      <c r="H66" s="220">
        <f t="shared" si="10"/>
        <v>0</v>
      </c>
    </row>
    <row r="67" spans="2:10" ht="20" customHeight="1" x14ac:dyDescent="0.3">
      <c r="F67" s="208" t="s">
        <v>67</v>
      </c>
      <c r="G67" s="221">
        <f t="shared" si="9"/>
        <v>0</v>
      </c>
      <c r="H67" s="220">
        <f t="shared" si="10"/>
        <v>0</v>
      </c>
    </row>
    <row r="68" spans="2:10" ht="20" customHeight="1" x14ac:dyDescent="0.3">
      <c r="F68" s="208" t="s">
        <v>68</v>
      </c>
      <c r="G68" s="221">
        <f t="shared" si="9"/>
        <v>0</v>
      </c>
      <c r="H68" s="220">
        <f t="shared" si="10"/>
        <v>0</v>
      </c>
    </row>
    <row r="69" spans="2:10" ht="20" customHeight="1" x14ac:dyDescent="0.3">
      <c r="F69" s="208" t="s">
        <v>69</v>
      </c>
      <c r="G69" s="221">
        <f t="shared" si="9"/>
        <v>0</v>
      </c>
      <c r="H69" s="220">
        <f t="shared" si="10"/>
        <v>0</v>
      </c>
    </row>
    <row r="70" spans="2:10" ht="20" customHeight="1" x14ac:dyDescent="0.3">
      <c r="F70" s="208" t="s">
        <v>70</v>
      </c>
      <c r="G70" s="221">
        <f t="shared" si="9"/>
        <v>0</v>
      </c>
      <c r="H70" s="220">
        <f t="shared" si="10"/>
        <v>0</v>
      </c>
    </row>
    <row r="71" spans="2:10" ht="20" customHeight="1" x14ac:dyDescent="0.3">
      <c r="F71" s="208" t="s">
        <v>146</v>
      </c>
      <c r="G71" s="223">
        <f>+SUM(G65:G70)</f>
        <v>0</v>
      </c>
      <c r="H71" s="220">
        <f>+G71/($G$61*$D$60)</f>
        <v>0</v>
      </c>
    </row>
    <row r="72" spans="2:10" ht="13.5" thickBot="1" x14ac:dyDescent="0.35"/>
    <row r="73" spans="2:10" ht="30" customHeight="1" thickBot="1" x14ac:dyDescent="0.35">
      <c r="B73" s="191"/>
      <c r="C73" s="446" t="s">
        <v>107</v>
      </c>
      <c r="D73" s="446"/>
      <c r="E73" s="192"/>
      <c r="F73" s="192"/>
      <c r="G73" s="192"/>
      <c r="H73" s="192"/>
      <c r="I73" s="216"/>
      <c r="J73" s="193"/>
    </row>
    <row r="74" spans="2:10" ht="38" customHeight="1" x14ac:dyDescent="0.3">
      <c r="C74" s="208" t="s">
        <v>95</v>
      </c>
      <c r="D74" s="195">
        <f>SUMPRODUCT((LEFT(G21:G34, 5)="Scoop") / (COUNTIF(G21:G34, G21:G34 &amp; "") + (G21:G34="")))</f>
        <v>0</v>
      </c>
      <c r="E74" s="447" t="s">
        <v>90</v>
      </c>
      <c r="F74" s="447"/>
      <c r="G74" s="218">
        <v>0.20833333333333334</v>
      </c>
      <c r="I74" s="139"/>
      <c r="J74" s="190"/>
    </row>
    <row r="75" spans="2:10" ht="38" customHeight="1" x14ac:dyDescent="0.3">
      <c r="C75" s="208" t="s">
        <v>145</v>
      </c>
      <c r="D75" s="195">
        <v>4.9000000000000004</v>
      </c>
      <c r="E75" s="447" t="s">
        <v>97</v>
      </c>
      <c r="F75" s="447"/>
      <c r="G75" s="195">
        <f>15000/(60)</f>
        <v>250</v>
      </c>
      <c r="H75" s="219" t="s">
        <v>23</v>
      </c>
      <c r="I75" s="139"/>
      <c r="J75" s="190"/>
    </row>
    <row r="76" spans="2:10" ht="38" customHeight="1" x14ac:dyDescent="0.3">
      <c r="E76" s="448" t="s">
        <v>98</v>
      </c>
      <c r="F76" s="448"/>
      <c r="G76" s="207" t="e">
        <f>+SUM(SUMIF($G$21:$G$34, "Scoop*", $J$21:$J$34))/SUMPRODUCT((LEFT(G21:G34, 5)="Scoop") / (COUNTIF(G21:G34, G21:G34 &amp; "") + (G21:G34="")))</f>
        <v>#DIV/0!</v>
      </c>
      <c r="H76" s="220" t="e">
        <f>+G76*24/($G$74*24)</f>
        <v>#DIV/0!</v>
      </c>
      <c r="I76" s="190"/>
      <c r="J76" s="190"/>
    </row>
    <row r="77" spans="2:10" ht="38" customHeight="1" x14ac:dyDescent="0.3">
      <c r="E77" s="448" t="s">
        <v>99</v>
      </c>
      <c r="F77" s="448"/>
      <c r="G77" s="221" t="e">
        <f>+SUM(W21:W34)*D75/D74</f>
        <v>#DIV/0!</v>
      </c>
      <c r="H77" s="220" t="e">
        <f>+G77/G75</f>
        <v>#DIV/0!</v>
      </c>
      <c r="I77" s="190"/>
      <c r="J77" s="190"/>
    </row>
    <row r="78" spans="2:10" ht="38" customHeight="1" x14ac:dyDescent="0.3">
      <c r="G78" s="222" t="s">
        <v>96</v>
      </c>
      <c r="H78" s="139" t="s">
        <v>23</v>
      </c>
    </row>
    <row r="79" spans="2:10" ht="20" customHeight="1" x14ac:dyDescent="0.3">
      <c r="F79" s="208" t="s">
        <v>71</v>
      </c>
      <c r="G79" s="221">
        <f t="shared" ref="G79:G84" si="11" xml:space="preserve"> SUMIF($G$21:$G$34, +F79,$W$21:$W$34)*$D$75</f>
        <v>0</v>
      </c>
      <c r="H79" s="220">
        <f>+G79/$G$75</f>
        <v>0</v>
      </c>
    </row>
    <row r="80" spans="2:10" ht="20" customHeight="1" x14ac:dyDescent="0.3">
      <c r="F80" s="208" t="s">
        <v>72</v>
      </c>
      <c r="G80" s="221">
        <f t="shared" si="11"/>
        <v>0</v>
      </c>
      <c r="H80" s="220">
        <f t="shared" ref="H80:H85" si="12">+G80/$G$75</f>
        <v>0</v>
      </c>
    </row>
    <row r="81" spans="2:10" ht="20" customHeight="1" x14ac:dyDescent="0.3">
      <c r="F81" s="208" t="s">
        <v>73</v>
      </c>
      <c r="G81" s="221">
        <f t="shared" si="11"/>
        <v>0</v>
      </c>
      <c r="H81" s="220">
        <f t="shared" si="12"/>
        <v>0</v>
      </c>
    </row>
    <row r="82" spans="2:10" ht="20" customHeight="1" x14ac:dyDescent="0.3">
      <c r="F82" s="208" t="s">
        <v>74</v>
      </c>
      <c r="G82" s="221">
        <f t="shared" si="11"/>
        <v>0</v>
      </c>
      <c r="H82" s="220">
        <f t="shared" si="12"/>
        <v>0</v>
      </c>
    </row>
    <row r="83" spans="2:10" ht="20" customHeight="1" x14ac:dyDescent="0.3">
      <c r="F83" s="208" t="s">
        <v>75</v>
      </c>
      <c r="G83" s="221">
        <f t="shared" si="11"/>
        <v>0</v>
      </c>
      <c r="H83" s="220">
        <f t="shared" si="12"/>
        <v>0</v>
      </c>
    </row>
    <row r="84" spans="2:10" ht="20" customHeight="1" x14ac:dyDescent="0.3">
      <c r="F84" s="208" t="s">
        <v>76</v>
      </c>
      <c r="G84" s="221">
        <f t="shared" si="11"/>
        <v>0</v>
      </c>
      <c r="H84" s="220">
        <f t="shared" si="12"/>
        <v>0</v>
      </c>
    </row>
    <row r="85" spans="2:10" ht="20" customHeight="1" x14ac:dyDescent="0.3">
      <c r="F85" s="208" t="s">
        <v>146</v>
      </c>
      <c r="G85" s="223">
        <f>+SUM(G79:G84)</f>
        <v>0</v>
      </c>
      <c r="H85" s="220">
        <f t="shared" si="12"/>
        <v>0</v>
      </c>
    </row>
    <row r="86" spans="2:10" ht="13.5" thickBot="1" x14ac:dyDescent="0.35"/>
    <row r="87" spans="2:10" ht="30" customHeight="1" thickBot="1" x14ac:dyDescent="0.35">
      <c r="B87" s="191"/>
      <c r="C87" s="446" t="s">
        <v>149</v>
      </c>
      <c r="D87" s="446"/>
      <c r="E87" s="192"/>
      <c r="F87" s="192"/>
      <c r="G87" s="192"/>
      <c r="H87" s="192"/>
      <c r="I87" s="216"/>
      <c r="J87" s="193"/>
    </row>
    <row r="88" spans="2:10" ht="25.25" customHeight="1" x14ac:dyDescent="0.3">
      <c r="C88" s="208" t="s">
        <v>150</v>
      </c>
      <c r="D88" s="195">
        <f>SUMPRODUCT((LEFT(G21:G34, 8)="Roboshot") / (COUNTIF(G21:G34, G21:G34 &amp; "") + (G21:G34="")))</f>
        <v>0</v>
      </c>
      <c r="E88" s="447" t="s">
        <v>90</v>
      </c>
      <c r="F88" s="447"/>
      <c r="G88" s="218">
        <v>0.20833333333333334</v>
      </c>
    </row>
    <row r="89" spans="2:10" x14ac:dyDescent="0.3">
      <c r="C89" s="208"/>
      <c r="D89" s="195"/>
      <c r="E89" s="447" t="s">
        <v>97</v>
      </c>
      <c r="F89" s="447"/>
      <c r="G89" s="195">
        <v>12</v>
      </c>
      <c r="H89" s="219" t="s">
        <v>23</v>
      </c>
    </row>
    <row r="91" spans="2:10" x14ac:dyDescent="0.3">
      <c r="G91" s="222" t="s">
        <v>96</v>
      </c>
      <c r="H91" s="139" t="s">
        <v>23</v>
      </c>
    </row>
    <row r="92" spans="2:10" x14ac:dyDescent="0.3">
      <c r="F92" s="208" t="s">
        <v>77</v>
      </c>
      <c r="G92" s="221">
        <f xml:space="preserve"> SUMIF($G$21:$G$34, +F92,$X$21:$X$34)</f>
        <v>0</v>
      </c>
      <c r="H92" s="220">
        <f>+G92/$G$89</f>
        <v>0</v>
      </c>
    </row>
    <row r="93" spans="2:10" x14ac:dyDescent="0.3">
      <c r="F93" s="208" t="s">
        <v>78</v>
      </c>
      <c r="G93" s="221">
        <f xml:space="preserve"> SUMIF($G$21:$G$34, +F93,$X$21:$X$34)</f>
        <v>0</v>
      </c>
      <c r="H93" s="220">
        <f t="shared" ref="H93:H94" si="13">+G93/$G$89</f>
        <v>0</v>
      </c>
    </row>
    <row r="94" spans="2:10" x14ac:dyDescent="0.3">
      <c r="F94" s="208" t="s">
        <v>79</v>
      </c>
      <c r="G94" s="221">
        <f xml:space="preserve"> SUMIF($G$21:$G$34, +F94,$X$21:$X$34)</f>
        <v>0</v>
      </c>
      <c r="H94" s="220">
        <f t="shared" si="13"/>
        <v>0</v>
      </c>
    </row>
    <row r="95" spans="2:10" x14ac:dyDescent="0.3">
      <c r="F95" s="208" t="s">
        <v>146</v>
      </c>
      <c r="G95" s="223">
        <f>+SUM(G92:G94)</f>
        <v>0</v>
      </c>
      <c r="H95" s="220">
        <f>+G95/$G$89</f>
        <v>0</v>
      </c>
    </row>
  </sheetData>
  <mergeCells count="41">
    <mergeCell ref="E89:F89"/>
    <mergeCell ref="C73:D73"/>
    <mergeCell ref="E74:F74"/>
    <mergeCell ref="E75:F75"/>
    <mergeCell ref="E76:F76"/>
    <mergeCell ref="E77:F77"/>
    <mergeCell ref="C87:D87"/>
    <mergeCell ref="C59:D59"/>
    <mergeCell ref="E60:F60"/>
    <mergeCell ref="E61:F61"/>
    <mergeCell ref="E62:F62"/>
    <mergeCell ref="E88:F88"/>
    <mergeCell ref="E63:F63"/>
    <mergeCell ref="E48:G48"/>
    <mergeCell ref="E49:G49"/>
    <mergeCell ref="E50:G50"/>
    <mergeCell ref="E51:G51"/>
    <mergeCell ref="E53:G53"/>
    <mergeCell ref="E54:G54"/>
    <mergeCell ref="E55:G55"/>
    <mergeCell ref="E47:G47"/>
    <mergeCell ref="K9:L9"/>
    <mergeCell ref="K10:L10"/>
    <mergeCell ref="K11:L11"/>
    <mergeCell ref="K12:L12"/>
    <mergeCell ref="B14:S14"/>
    <mergeCell ref="C39:D39"/>
    <mergeCell ref="G39:H39"/>
    <mergeCell ref="I39:J39"/>
    <mergeCell ref="K39:L39"/>
    <mergeCell ref="E40:F40"/>
    <mergeCell ref="E41:F41"/>
    <mergeCell ref="E42:F42"/>
    <mergeCell ref="E45:G45"/>
    <mergeCell ref="E46:G46"/>
    <mergeCell ref="K8:L8"/>
    <mergeCell ref="B1:D4"/>
    <mergeCell ref="E2:R2"/>
    <mergeCell ref="E3:R4"/>
    <mergeCell ref="K6:L6"/>
    <mergeCell ref="K7:L7"/>
  </mergeCells>
  <conditionalFormatting sqref="H41:H42 J41:J42">
    <cfRule type="cellIs" dxfId="440" priority="13" operator="greaterThan">
      <formula>0.9</formula>
    </cfRule>
    <cfRule type="cellIs" dxfId="439" priority="14" operator="between">
      <formula>0.81</formula>
      <formula>0.89</formula>
    </cfRule>
    <cfRule type="cellIs" dxfId="438" priority="15" operator="lessThan">
      <formula>0.8</formula>
    </cfRule>
  </conditionalFormatting>
  <conditionalFormatting sqref="H62:H63">
    <cfRule type="cellIs" dxfId="437" priority="16" operator="greaterThan">
      <formula>0.9</formula>
    </cfRule>
    <cfRule type="cellIs" dxfId="436" priority="17" operator="between">
      <formula>0.81</formula>
      <formula>0.89</formula>
    </cfRule>
    <cfRule type="cellIs" dxfId="435" priority="18" operator="lessThan">
      <formula>0.8</formula>
    </cfRule>
  </conditionalFormatting>
  <conditionalFormatting sqref="H65:H71">
    <cfRule type="cellIs" dxfId="434" priority="19" operator="greaterThan">
      <formula>0.9</formula>
    </cfRule>
    <cfRule type="cellIs" dxfId="433" priority="20" operator="between">
      <formula>0.81</formula>
      <formula>0.89</formula>
    </cfRule>
    <cfRule type="cellIs" dxfId="432" priority="21" operator="lessThan">
      <formula>0.8</formula>
    </cfRule>
  </conditionalFormatting>
  <conditionalFormatting sqref="H76:H77">
    <cfRule type="cellIs" dxfId="431" priority="7" operator="greaterThan">
      <formula>0.9</formula>
    </cfRule>
    <cfRule type="cellIs" dxfId="430" priority="8" operator="between">
      <formula>0.81</formula>
      <formula>0.89</formula>
    </cfRule>
    <cfRule type="cellIs" dxfId="429" priority="9" operator="lessThan">
      <formula>0.8</formula>
    </cfRule>
  </conditionalFormatting>
  <conditionalFormatting sqref="H79:H85">
    <cfRule type="cellIs" dxfId="428" priority="10" operator="greaterThan">
      <formula>0.9</formula>
    </cfRule>
    <cfRule type="cellIs" dxfId="427" priority="11" operator="between">
      <formula>0.81</formula>
      <formula>0.89</formula>
    </cfRule>
    <cfRule type="cellIs" dxfId="426" priority="12" operator="lessThan">
      <formula>0.8</formula>
    </cfRule>
  </conditionalFormatting>
  <conditionalFormatting sqref="H92:H95">
    <cfRule type="cellIs" dxfId="425" priority="4" operator="greaterThan">
      <formula>0.9</formula>
    </cfRule>
    <cfRule type="cellIs" dxfId="424" priority="5" operator="between">
      <formula>0.81</formula>
      <formula>0.89</formula>
    </cfRule>
    <cfRule type="cellIs" dxfId="423" priority="6" operator="lessThan">
      <formula>0.8</formula>
    </cfRule>
  </conditionalFormatting>
  <conditionalFormatting sqref="L41:L42">
    <cfRule type="cellIs" dxfId="422" priority="1" operator="greaterThan">
      <formula>0.9</formula>
    </cfRule>
    <cfRule type="cellIs" dxfId="421" priority="2" operator="between">
      <formula>0.81</formula>
      <formula>0.89</formula>
    </cfRule>
    <cfRule type="cellIs" dxfId="420" priority="3" operator="lessThan">
      <formula>0.8</formula>
    </cfRule>
  </conditionalFormatting>
  <pageMargins left="0.25" right="0.25" top="0.75" bottom="0.75" header="0.3" footer="0.3"/>
  <pageSetup scale="3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2D5686D-150C-4BB4-AD70-66FEC6577D22}">
          <x14:formula1>
            <xm:f>Datos!$B$3:$B$8</xm:f>
          </x14:formula1>
          <xm:sqref>E29:E37 E21:E26</xm:sqref>
        </x14:dataValidation>
        <x14:dataValidation type="list" allowBlank="1" showInputMessage="1" showErrorMessage="1" xr:uid="{8E2D2B8D-A6A0-42CC-9450-B755013305A6}">
          <x14:formula1>
            <xm:f>Datos!$D$3:$D$27</xm:f>
          </x14:formula1>
          <xm:sqref>F29:F37 F21:F26</xm:sqref>
        </x14:dataValidation>
        <x14:dataValidation type="list" allowBlank="1" showInputMessage="1" showErrorMessage="1" xr:uid="{00F092CD-2429-47A4-817C-EF30C005B314}">
          <x14:formula1>
            <xm:f>Datos!$W$3:$W$12</xm:f>
          </x14:formula1>
          <xm:sqref>L29:L37 L21:L26</xm:sqref>
        </x14:dataValidation>
        <x14:dataValidation type="list" allowBlank="1" showInputMessage="1" showErrorMessage="1" xr:uid="{99F65E37-F4CB-4E2E-8DB7-7328ECCE9C4A}">
          <x14:formula1>
            <xm:f>Datos!$F$3:$F$41</xm:f>
          </x14:formula1>
          <xm:sqref>G29:G37 G21:G26</xm:sqref>
        </x14:dataValidation>
        <x14:dataValidation type="list" allowBlank="1" showInputMessage="1" showErrorMessage="1" xr:uid="{6B7C14AF-BB6C-4E9A-BB6B-7029A36702E4}">
          <x14:formula1>
            <xm:f>Datos!$H$3:$H$26</xm:f>
          </x14:formula1>
          <xm:sqref>D26 D37</xm:sqref>
        </x14:dataValidation>
        <x14:dataValidation type="list" allowBlank="1" showInputMessage="1" showErrorMessage="1" xr:uid="{F8E938ED-1B01-4D1E-BA0D-78FA4CF8A949}">
          <x14:formula1>
            <xm:f>Datos!$H$3:$H$34</xm:f>
          </x14:formula1>
          <xm:sqref>D29:D36 D21:D25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F37B-5186-480F-B65F-1388D6A58491}">
  <sheetPr>
    <pageSetUpPr fitToPage="1"/>
  </sheetPr>
  <dimension ref="B1:X95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E45" sqref="E45:G55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+G41</f>
        <v>1.0520833333333333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+H42</f>
        <v>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172</v>
      </c>
      <c r="E21" s="172" t="s">
        <v>6</v>
      </c>
      <c r="F21" s="172" t="s">
        <v>163</v>
      </c>
      <c r="G21" s="172" t="s">
        <v>210</v>
      </c>
      <c r="H21" s="174">
        <v>0.3125</v>
      </c>
      <c r="I21" s="174">
        <v>0.42708333333333331</v>
      </c>
      <c r="J21" s="175">
        <f>I21-H21</f>
        <v>0.11458333333333331</v>
      </c>
      <c r="K21" s="178"/>
      <c r="L21" s="177"/>
      <c r="M21" s="178"/>
      <c r="N21" s="179">
        <v>1</v>
      </c>
      <c r="O21" s="186" t="s">
        <v>456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230</v>
      </c>
      <c r="E22" s="172" t="s">
        <v>6</v>
      </c>
      <c r="F22" s="172" t="s">
        <v>163</v>
      </c>
      <c r="G22" s="172" t="s">
        <v>213</v>
      </c>
      <c r="H22" s="174">
        <v>0.41666666666666669</v>
      </c>
      <c r="I22" s="174">
        <v>0.51041666666666663</v>
      </c>
      <c r="J22" s="175">
        <f>I22-H22</f>
        <v>9.3749999999999944E-2</v>
      </c>
      <c r="K22" s="178"/>
      <c r="L22" s="177"/>
      <c r="M22" s="178"/>
      <c r="N22" s="179">
        <v>1</v>
      </c>
      <c r="O22" s="225" t="s">
        <v>457</v>
      </c>
      <c r="P22" s="181"/>
      <c r="Q22" s="174"/>
      <c r="R22" s="172"/>
      <c r="S22" s="175">
        <f t="shared" ref="S22:S26" si="0">+MOD(R22-Q22,1)</f>
        <v>0</v>
      </c>
      <c r="U22" s="182">
        <f>+IFERROR(VLOOKUP(D22,Datos!$R$3:$T$19,3,FALSE), "0")*N22</f>
        <v>0</v>
      </c>
      <c r="V22" s="183" t="str">
        <f t="shared" ref="V22:V26" si="1">IF(OR(D22="Perforación de Fortificación", D22="Perforación de Avance", D22="Perforación Desquinche"), K22*M22, "")</f>
        <v/>
      </c>
      <c r="W22" s="183" t="str">
        <f t="shared" ref="W22:W26" si="2">IF(D22="Extracción de Marina Disparo",K22,"")</f>
        <v/>
      </c>
      <c r="X22" s="183" t="str">
        <f t="shared" ref="X22:X26" si="3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288</v>
      </c>
      <c r="E23" s="172" t="s">
        <v>6</v>
      </c>
      <c r="F23" s="172" t="s">
        <v>163</v>
      </c>
      <c r="G23" s="172" t="s">
        <v>210</v>
      </c>
      <c r="H23" s="174">
        <v>0.41666666666666669</v>
      </c>
      <c r="I23" s="174">
        <v>0.76041666666666663</v>
      </c>
      <c r="J23" s="175">
        <f>I23-H23</f>
        <v>0.34374999999999994</v>
      </c>
      <c r="K23" s="178"/>
      <c r="L23" s="177"/>
      <c r="M23" s="178"/>
      <c r="N23" s="179">
        <v>1</v>
      </c>
      <c r="O23" s="186" t="s">
        <v>458</v>
      </c>
      <c r="P23" s="181"/>
      <c r="Q23" s="174"/>
      <c r="R23" s="172"/>
      <c r="S23" s="175">
        <f t="shared" si="0"/>
        <v>0</v>
      </c>
      <c r="U23" s="182">
        <f>+IFERROR(VLOOKUP(D23,Datos!$R$3:$T$19,3,FALSE), "0")*N23</f>
        <v>0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/>
      <c r="C24" s="173"/>
      <c r="D24" s="173"/>
      <c r="E24" s="172"/>
      <c r="F24" s="172"/>
      <c r="G24" s="172"/>
      <c r="H24" s="174"/>
      <c r="I24" s="174"/>
      <c r="J24" s="175"/>
      <c r="K24" s="178"/>
      <c r="L24" s="177"/>
      <c r="M24" s="178"/>
      <c r="N24" s="179"/>
      <c r="O24" s="186"/>
      <c r="P24" s="181"/>
      <c r="Q24" s="174"/>
      <c r="R24" s="174"/>
      <c r="S24" s="175"/>
      <c r="U24" s="182"/>
      <c r="V24" s="183"/>
      <c r="W24" s="183"/>
      <c r="X24" s="183"/>
    </row>
    <row r="25" spans="2:24" ht="37.75" customHeight="1" x14ac:dyDescent="0.3">
      <c r="B25" s="172"/>
      <c r="C25" s="173"/>
      <c r="D25" s="173" t="s">
        <v>110</v>
      </c>
      <c r="E25" s="172"/>
      <c r="F25" s="172"/>
      <c r="G25" s="172"/>
      <c r="H25" s="174">
        <v>0.33333333333333331</v>
      </c>
      <c r="I25" s="174">
        <v>0.83333333333333337</v>
      </c>
      <c r="J25" s="175">
        <f>I25-H25</f>
        <v>0.5</v>
      </c>
      <c r="K25" s="178"/>
      <c r="L25" s="177"/>
      <c r="M25" s="178"/>
      <c r="N25" s="179"/>
      <c r="O25" s="186" t="s">
        <v>436</v>
      </c>
      <c r="P25" s="181"/>
      <c r="Q25" s="174"/>
      <c r="R25" s="174"/>
      <c r="S25" s="175"/>
      <c r="U25" s="182"/>
      <c r="V25" s="183" t="str">
        <f t="shared" si="1"/>
        <v/>
      </c>
      <c r="W25" s="183" t="str">
        <f t="shared" si="2"/>
        <v/>
      </c>
      <c r="X25" s="183" t="str">
        <f t="shared" si="3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 t="s">
        <v>329</v>
      </c>
      <c r="J26" s="175">
        <f>MOD(I23-H21, 1)</f>
        <v>0.44791666666666663</v>
      </c>
      <c r="K26" s="178"/>
      <c r="L26" s="177"/>
      <c r="M26" s="178"/>
      <c r="N26" s="179"/>
      <c r="O26" s="186"/>
      <c r="P26" s="172"/>
      <c r="Q26" s="172"/>
      <c r="R26" s="172"/>
      <c r="S26" s="175">
        <f t="shared" si="0"/>
        <v>0</v>
      </c>
      <c r="U26" s="182">
        <f>SUM(U21:U25)</f>
        <v>0</v>
      </c>
      <c r="V26" s="183" t="str">
        <f t="shared" si="1"/>
        <v/>
      </c>
      <c r="W26" s="183" t="str">
        <f t="shared" si="2"/>
        <v/>
      </c>
      <c r="X26" s="183" t="str">
        <f t="shared" si="3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 t="s">
        <v>110</v>
      </c>
      <c r="E29" s="172" t="s">
        <v>6</v>
      </c>
      <c r="F29" s="172" t="s">
        <v>164</v>
      </c>
      <c r="G29" s="172"/>
      <c r="H29" s="174">
        <v>0.33333333333333331</v>
      </c>
      <c r="I29" s="174">
        <v>0.83333333333333337</v>
      </c>
      <c r="J29" s="175">
        <f>I29-H29</f>
        <v>0.5</v>
      </c>
      <c r="K29" s="178"/>
      <c r="L29" s="177"/>
      <c r="M29" s="178"/>
      <c r="N29" s="179">
        <v>1</v>
      </c>
      <c r="O29" s="186" t="s">
        <v>428</v>
      </c>
      <c r="P29" s="225"/>
      <c r="Q29" s="174"/>
      <c r="R29" s="174"/>
      <c r="S29" s="175"/>
      <c r="U29" s="187">
        <f>+IFERROR(VLOOKUP(D29,Datos!$R$24:$T$40,3,FALSE), "0")*N29</f>
        <v>0</v>
      </c>
      <c r="V29" s="183" t="str">
        <f t="shared" ref="V29:V37" si="4">IF(OR(D29="Perforación de Fortificación", D29="Perforación de Avance", D29="Perforación Desquinche"), K29*M29, "")</f>
        <v/>
      </c>
      <c r="W29" s="183" t="str">
        <f>IF(D29="Extracción de Marina Disparo",K29,"")</f>
        <v/>
      </c>
      <c r="X29" s="183" t="str">
        <f t="shared" ref="X29:X37" si="5">IF(OR(D29="Shotcrete", D29="Pre Shotcrete"), K29, "")</f>
        <v/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73"/>
      <c r="Q30" s="174"/>
      <c r="R30" s="174"/>
      <c r="S30" s="175"/>
      <c r="U30" s="187">
        <f>+IFERROR(VLOOKUP(D30,Datos!$R$24:$T$40,3,FALSE), "0")*N30</f>
        <v>0</v>
      </c>
      <c r="V30" s="183" t="str">
        <f t="shared" si="4"/>
        <v/>
      </c>
      <c r="W30" s="183" t="str">
        <f>IF(D30="Extracción de Marina Disparo",K30,"")</f>
        <v/>
      </c>
      <c r="X30" s="183" t="str">
        <f t="shared" si="5"/>
        <v/>
      </c>
    </row>
    <row r="31" spans="2:24" ht="53.4" customHeight="1" x14ac:dyDescent="0.3">
      <c r="B31" s="172">
        <v>3700</v>
      </c>
      <c r="C31" s="173" t="str">
        <f>+C29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81"/>
      <c r="Q31" s="174"/>
      <c r="R31" s="174"/>
      <c r="S31" s="175"/>
      <c r="U31" s="187">
        <f>+IFERROR(VLOOKUP(D31,Datos!$R$24:$T$40,3,FALSE), "0")*N31</f>
        <v>0</v>
      </c>
      <c r="V31" s="183" t="str">
        <f t="shared" si="4"/>
        <v/>
      </c>
      <c r="W31" s="183" t="str">
        <f t="shared" ref="W31:W37" si="6">IF(D31="Extracción de Marina Disparo",K31,"")</f>
        <v/>
      </c>
      <c r="X31" s="183" t="str">
        <f t="shared" si="5"/>
        <v/>
      </c>
    </row>
    <row r="32" spans="2:24" ht="38" customHeight="1" x14ac:dyDescent="0.3">
      <c r="B32" s="172">
        <v>3700</v>
      </c>
      <c r="C32" s="173" t="s">
        <v>397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72"/>
      <c r="Q32" s="172"/>
      <c r="R32" s="172"/>
      <c r="S32" s="175"/>
      <c r="U32" s="187">
        <f>+IFERROR(VLOOKUP(D32,Datos!$R$24:$T$40,3,FALSE), "0")*N32</f>
        <v>0</v>
      </c>
      <c r="V32" s="183" t="str">
        <f t="shared" si="4"/>
        <v/>
      </c>
      <c r="W32" s="183" t="str">
        <f t="shared" si="6"/>
        <v/>
      </c>
      <c r="X32" s="183"/>
    </row>
    <row r="33" spans="2:24" ht="38" customHeight="1" x14ac:dyDescent="0.3">
      <c r="B33" s="172">
        <v>3700</v>
      </c>
      <c r="C33" s="173" t="str">
        <f>+C32</f>
        <v>Fróntón Bodega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81"/>
      <c r="Q33" s="174"/>
      <c r="R33" s="174"/>
      <c r="S33" s="175"/>
      <c r="U33" s="187">
        <f>+IFERROR(VLOOKUP(D33,Datos!$R$24:$T$40,3,FALSE), "0")*N33</f>
        <v>0</v>
      </c>
      <c r="V33" s="183" t="str">
        <f t="shared" si="4"/>
        <v/>
      </c>
      <c r="W33" s="183" t="str">
        <f t="shared" si="6"/>
        <v/>
      </c>
      <c r="X33" s="183" t="str">
        <f t="shared" si="5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225"/>
      <c r="P34" s="172"/>
      <c r="Q34" s="172"/>
      <c r="R34" s="172"/>
      <c r="S34" s="175">
        <f t="shared" ref="S34:S37" si="7">+MOD(R34-Q34,1)</f>
        <v>0</v>
      </c>
      <c r="U34" s="187">
        <f>+IFERROR(VLOOKUP(D34,Datos!$R$24:$T$40,3,FALSE), "0")*N34</f>
        <v>0</v>
      </c>
      <c r="V34" s="183" t="str">
        <f t="shared" si="4"/>
        <v/>
      </c>
      <c r="W34" s="183" t="str">
        <f t="shared" si="6"/>
        <v/>
      </c>
      <c r="X34" s="183" t="str">
        <f t="shared" si="5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7"/>
        <v>0</v>
      </c>
      <c r="U35" s="187"/>
      <c r="V35" s="183" t="str">
        <f t="shared" si="4"/>
        <v/>
      </c>
      <c r="W35" s="183" t="str">
        <f t="shared" si="6"/>
        <v/>
      </c>
      <c r="X35" s="183" t="str">
        <f t="shared" si="5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7"/>
        <v>0</v>
      </c>
      <c r="U36" s="187"/>
      <c r="V36" s="183" t="str">
        <f t="shared" si="4"/>
        <v/>
      </c>
      <c r="W36" s="183" t="str">
        <f t="shared" si="6"/>
        <v/>
      </c>
      <c r="X36" s="183" t="str">
        <f t="shared" si="5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 t="s">
        <v>329</v>
      </c>
      <c r="J37" s="175"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7"/>
        <v>0</v>
      </c>
      <c r="U37" s="182">
        <f>SUM(U29:U36)</f>
        <v>0</v>
      </c>
      <c r="V37" s="183" t="str">
        <f t="shared" si="4"/>
        <v/>
      </c>
      <c r="W37" s="183" t="str">
        <f t="shared" si="6"/>
        <v/>
      </c>
      <c r="X37" s="183" t="str">
        <f t="shared" si="5"/>
        <v/>
      </c>
    </row>
    <row r="38" spans="2:24" ht="15.65" customHeight="1" thickBot="1" x14ac:dyDescent="0.35">
      <c r="B38" s="190"/>
      <c r="C38" s="190"/>
      <c r="D38" s="190"/>
      <c r="E38" s="190"/>
      <c r="F38" s="190"/>
      <c r="G38" s="190"/>
      <c r="H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</row>
    <row r="39" spans="2:24" ht="30" customHeight="1" thickBot="1" x14ac:dyDescent="0.35">
      <c r="B39" s="191"/>
      <c r="C39" s="446" t="s">
        <v>64</v>
      </c>
      <c r="D39" s="446"/>
      <c r="E39" s="192"/>
      <c r="F39" s="192"/>
      <c r="G39" s="431">
        <v>3500</v>
      </c>
      <c r="H39" s="432"/>
      <c r="I39" s="431">
        <v>3700</v>
      </c>
      <c r="J39" s="432"/>
      <c r="K39" s="433" t="s">
        <v>146</v>
      </c>
      <c r="L39" s="434"/>
      <c r="M39" s="190"/>
      <c r="N39" s="190"/>
      <c r="O39" s="190"/>
      <c r="P39" s="190"/>
      <c r="Q39" s="190"/>
      <c r="R39" s="190"/>
      <c r="S39" s="190"/>
    </row>
    <row r="40" spans="2:24" ht="30" customHeight="1" x14ac:dyDescent="0.3">
      <c r="C40" s="194" t="s">
        <v>48</v>
      </c>
      <c r="D40" s="195">
        <f>SUMPRODUCT((LEFT(F21:F34, 1)="C") / (COUNTIF(F21:F34, F21:F34 &amp; "") + (F21:F34="")))</f>
        <v>0</v>
      </c>
      <c r="E40" s="447" t="s">
        <v>90</v>
      </c>
      <c r="F40" s="447"/>
      <c r="G40" s="196">
        <v>0.26041666666666669</v>
      </c>
      <c r="H40" s="197" t="s">
        <v>23</v>
      </c>
      <c r="I40" s="196">
        <v>0.26041666666666669</v>
      </c>
      <c r="J40" s="197" t="s">
        <v>23</v>
      </c>
      <c r="K40" s="198">
        <f>+G40</f>
        <v>0.26041666666666669</v>
      </c>
      <c r="L40" s="197" t="s">
        <v>23</v>
      </c>
      <c r="M40" s="190"/>
      <c r="N40" s="190"/>
      <c r="O40" s="190"/>
      <c r="P40" s="190"/>
      <c r="Q40" s="190"/>
      <c r="R40" s="190"/>
      <c r="S40" s="190"/>
    </row>
    <row r="41" spans="2:24" x14ac:dyDescent="0.3">
      <c r="C41" s="194" t="s">
        <v>49</v>
      </c>
      <c r="D41" s="195">
        <f>SUMPRODUCT((LEFT(F21:F34, 1)="O") / (COUNTIF(F21:F34, F21:F34 &amp; "") + (F21:F34="")))</f>
        <v>0</v>
      </c>
      <c r="E41" s="448" t="s">
        <v>198</v>
      </c>
      <c r="F41" s="448"/>
      <c r="G41" s="199">
        <f>SUM(J21:J25)</f>
        <v>1.0520833333333333</v>
      </c>
      <c r="H41" s="200">
        <f>+G41*24/($G$40*24)</f>
        <v>4.04</v>
      </c>
      <c r="I41" s="199">
        <f>SUM(J29:J34)</f>
        <v>0.5</v>
      </c>
      <c r="J41" s="200">
        <f>+I41*24/($I$40*24)</f>
        <v>1.92</v>
      </c>
      <c r="K41" s="201">
        <f>AVERAGE(G41+I41)/2</f>
        <v>0.77604166666666663</v>
      </c>
      <c r="L41" s="200">
        <f>+K41*24/($K$40*24)</f>
        <v>2.98</v>
      </c>
      <c r="M41" s="190"/>
      <c r="N41" s="190"/>
      <c r="O41" s="190"/>
      <c r="P41" s="190"/>
      <c r="Q41" s="190"/>
      <c r="R41" s="190"/>
      <c r="S41" s="190"/>
    </row>
    <row r="42" spans="2:24" ht="43.25" customHeight="1" thickBot="1" x14ac:dyDescent="0.35">
      <c r="E42" s="448" t="s">
        <v>94</v>
      </c>
      <c r="F42" s="448"/>
      <c r="G42" s="202"/>
      <c r="H42" s="203">
        <f>+AVERAGE(N21:N26)</f>
        <v>1</v>
      </c>
      <c r="I42" s="202"/>
      <c r="J42" s="203">
        <f>+AVERAGE(N29:N34)</f>
        <v>1</v>
      </c>
      <c r="K42" s="204"/>
      <c r="L42" s="203">
        <f>+AVERAGE(N21:N34)</f>
        <v>1</v>
      </c>
    </row>
    <row r="43" spans="2:24" ht="43.25" customHeight="1" x14ac:dyDescent="0.3">
      <c r="E43" s="205"/>
      <c r="F43" s="205"/>
      <c r="G43" s="206"/>
      <c r="H43" s="206"/>
      <c r="I43" s="137"/>
      <c r="J43" s="137"/>
      <c r="K43" s="137"/>
      <c r="L43" s="137"/>
    </row>
    <row r="44" spans="2:24" ht="43.25" customHeight="1" x14ac:dyDescent="0.3">
      <c r="E44" s="194"/>
      <c r="F44" s="194"/>
      <c r="G44" s="207"/>
      <c r="H44" s="208" t="s">
        <v>24</v>
      </c>
      <c r="I44" s="208" t="s">
        <v>199</v>
      </c>
      <c r="J44" s="208" t="s">
        <v>201</v>
      </c>
      <c r="K44" s="208" t="s">
        <v>404</v>
      </c>
      <c r="L44" s="345" t="s">
        <v>484</v>
      </c>
      <c r="M44" s="345" t="s">
        <v>485</v>
      </c>
      <c r="N44" s="208"/>
    </row>
    <row r="45" spans="2:24" ht="14.5" x14ac:dyDescent="0.35">
      <c r="E45" s="445" t="s">
        <v>174</v>
      </c>
      <c r="F45" s="445"/>
      <c r="G45" s="445"/>
      <c r="H45" s="209">
        <f>+U37</f>
        <v>0</v>
      </c>
      <c r="I45" s="298">
        <f>+H45*$J$45*$K$45</f>
        <v>0</v>
      </c>
      <c r="J45" s="298">
        <v>6.6</v>
      </c>
      <c r="K45" s="246">
        <v>3.42</v>
      </c>
      <c r="L45" s="344">
        <v>56.080975609756102</v>
      </c>
      <c r="M45" s="344">
        <f>+L45*K45*H45</f>
        <v>0</v>
      </c>
    </row>
    <row r="46" spans="2:24" ht="14.4" customHeight="1" x14ac:dyDescent="0.35">
      <c r="E46" s="445" t="s">
        <v>224</v>
      </c>
      <c r="F46" s="445"/>
      <c r="G46" s="445"/>
      <c r="H46" s="209"/>
      <c r="I46" s="298">
        <f>+J46*K46</f>
        <v>0</v>
      </c>
      <c r="J46" s="298">
        <f>1892/1000000</f>
        <v>1.892E-3</v>
      </c>
      <c r="K46" s="246">
        <f>+((15*4.4)*2.72)*0</f>
        <v>0</v>
      </c>
      <c r="L46" s="346">
        <v>1.6919982016368774E-2</v>
      </c>
      <c r="M46" s="344">
        <f>+L46*K46</f>
        <v>0</v>
      </c>
    </row>
    <row r="47" spans="2:24" ht="14.4" customHeight="1" x14ac:dyDescent="0.35">
      <c r="E47" s="445" t="s">
        <v>359</v>
      </c>
      <c r="F47" s="445"/>
      <c r="G47" s="445"/>
      <c r="H47" s="209"/>
      <c r="I47" s="298">
        <f>+J47*K47</f>
        <v>0</v>
      </c>
      <c r="J47" s="298">
        <v>0.340368</v>
      </c>
      <c r="K47" s="246">
        <v>0</v>
      </c>
      <c r="L47" s="346">
        <v>2.2358937544867188</v>
      </c>
      <c r="M47" s="344">
        <f>+L47*K47</f>
        <v>0</v>
      </c>
    </row>
    <row r="48" spans="2:24" ht="14.4" customHeight="1" x14ac:dyDescent="0.35">
      <c r="E48" s="445" t="s">
        <v>376</v>
      </c>
      <c r="F48" s="445"/>
      <c r="G48" s="445"/>
      <c r="H48" s="209">
        <v>0</v>
      </c>
      <c r="I48" s="298">
        <f>+H48*$J$48*$K$48</f>
        <v>0</v>
      </c>
      <c r="J48" s="298">
        <f>23683234/1000000</f>
        <v>23.683233999999999</v>
      </c>
      <c r="K48" s="226">
        <v>0</v>
      </c>
      <c r="L48" s="346">
        <v>254.98967741935485</v>
      </c>
      <c r="M48" s="344">
        <f>+L48*K48*H48</f>
        <v>0</v>
      </c>
    </row>
    <row r="49" spans="2:13" ht="14.4" customHeight="1" x14ac:dyDescent="0.35">
      <c r="E49" s="445" t="s">
        <v>236</v>
      </c>
      <c r="F49" s="445"/>
      <c r="G49" s="445"/>
      <c r="H49" s="209"/>
      <c r="I49" s="298">
        <f>+J49*K49</f>
        <v>0</v>
      </c>
      <c r="J49" s="298">
        <f>25508/1000000</f>
        <v>2.5507999999999999E-2</v>
      </c>
      <c r="K49" s="246">
        <f>7/(0.05)*0</f>
        <v>0</v>
      </c>
      <c r="L49" s="347" t="s">
        <v>486</v>
      </c>
      <c r="M49" s="349"/>
    </row>
    <row r="50" spans="2:13" ht="14.4" customHeight="1" x14ac:dyDescent="0.35">
      <c r="E50" s="445" t="s">
        <v>451</v>
      </c>
      <c r="F50" s="445"/>
      <c r="G50" s="445"/>
      <c r="H50" s="209">
        <v>1</v>
      </c>
      <c r="I50" s="298">
        <f>H50*J50</f>
        <v>7.9892054999999997</v>
      </c>
      <c r="J50" s="298">
        <f>15978411/2000000</f>
        <v>7.9892054999999997</v>
      </c>
      <c r="K50" s="246"/>
      <c r="L50" s="347" t="s">
        <v>486</v>
      </c>
      <c r="M50" s="344"/>
    </row>
    <row r="51" spans="2:13" ht="14.4" customHeight="1" x14ac:dyDescent="0.35">
      <c r="E51" s="445" t="s">
        <v>298</v>
      </c>
      <c r="F51" s="445"/>
      <c r="G51" s="445"/>
      <c r="H51" s="209"/>
      <c r="I51" s="210">
        <f>SUM(I45:I50)</f>
        <v>7.9892054999999997</v>
      </c>
      <c r="J51" s="214"/>
      <c r="K51" s="246"/>
      <c r="L51" s="344"/>
      <c r="M51" s="344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/>
    </row>
    <row r="53" spans="2:13" ht="14.4" customHeight="1" x14ac:dyDescent="0.35">
      <c r="E53" s="445" t="s">
        <v>175</v>
      </c>
      <c r="F53" s="445"/>
      <c r="G53" s="445"/>
      <c r="H53" s="209">
        <f>+U26</f>
        <v>0</v>
      </c>
      <c r="I53" s="210">
        <f>+H53*$J$53*$K$53</f>
        <v>0</v>
      </c>
      <c r="J53" s="211">
        <v>11.8</v>
      </c>
      <c r="K53" s="246">
        <v>4</v>
      </c>
      <c r="L53" s="344">
        <v>118.52055555555555</v>
      </c>
      <c r="M53" s="344">
        <f>+L53*K53*H53</f>
        <v>0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0</v>
      </c>
      <c r="J54" s="296">
        <f>+J46*0</f>
        <v>0</v>
      </c>
      <c r="K54" s="215">
        <f>+((15*2.8)*2.72)*K25</f>
        <v>0</v>
      </c>
      <c r="L54" s="346">
        <v>1.6919982016368774E-2</v>
      </c>
      <c r="M54" s="344">
        <f>+L54*K54</f>
        <v>0</v>
      </c>
    </row>
    <row r="55" spans="2:13" ht="14.4" customHeight="1" x14ac:dyDescent="0.35">
      <c r="E55" s="445" t="s">
        <v>297</v>
      </c>
      <c r="F55" s="445"/>
      <c r="G55" s="445"/>
      <c r="H55" s="209"/>
      <c r="I55" s="210">
        <f>SUM(I53:I54)</f>
        <v>0</v>
      </c>
      <c r="J55" s="214"/>
      <c r="K55" s="246"/>
      <c r="L55" s="347"/>
      <c r="M55" s="349"/>
    </row>
    <row r="56" spans="2:13" ht="14.4" customHeight="1" x14ac:dyDescent="0.3">
      <c r="E56" s="227"/>
      <c r="F56" s="227"/>
      <c r="G56" s="227"/>
      <c r="H56" s="209"/>
      <c r="I56" s="210"/>
      <c r="J56" s="214"/>
      <c r="K56" s="246"/>
      <c r="L56" s="213"/>
      <c r="M56" s="352">
        <f>SUM(M45:M55)</f>
        <v>0</v>
      </c>
    </row>
    <row r="57" spans="2:13" ht="14.4" customHeight="1" x14ac:dyDescent="0.3">
      <c r="L57" s="213"/>
    </row>
    <row r="58" spans="2:13" ht="7.75" customHeight="1" thickBot="1" x14ac:dyDescent="0.35"/>
    <row r="59" spans="2:13" ht="30" customHeight="1" thickBot="1" x14ac:dyDescent="0.35">
      <c r="B59" s="191"/>
      <c r="C59" s="446" t="s">
        <v>88</v>
      </c>
      <c r="D59" s="446"/>
      <c r="E59" s="192"/>
      <c r="F59" s="192"/>
      <c r="G59" s="192"/>
      <c r="H59" s="192"/>
      <c r="I59" s="216"/>
      <c r="J59" s="193"/>
    </row>
    <row r="60" spans="2:13" ht="38" customHeight="1" x14ac:dyDescent="0.3">
      <c r="C60" s="217" t="s">
        <v>89</v>
      </c>
      <c r="D60" s="195">
        <f>SUMPRODUCT((LEFT(G21:G34, 5)="Jumbo") / (COUNTIF(G21:G34, G21:G34 &amp; "") + (G21:G34="")))</f>
        <v>0</v>
      </c>
      <c r="E60" s="447" t="s">
        <v>90</v>
      </c>
      <c r="F60" s="447"/>
      <c r="G60" s="218">
        <v>0.20833333333333334</v>
      </c>
      <c r="I60" s="139"/>
      <c r="J60" s="190"/>
    </row>
    <row r="61" spans="2:13" ht="38" customHeight="1" x14ac:dyDescent="0.3">
      <c r="E61" s="447" t="s">
        <v>93</v>
      </c>
      <c r="F61" s="447"/>
      <c r="G61" s="195">
        <f>15000/(60)</f>
        <v>250</v>
      </c>
      <c r="H61" s="219" t="s">
        <v>143</v>
      </c>
      <c r="I61" s="139"/>
      <c r="J61" s="190"/>
    </row>
    <row r="62" spans="2:13" ht="38" customHeight="1" x14ac:dyDescent="0.3">
      <c r="E62" s="448" t="s">
        <v>91</v>
      </c>
      <c r="F62" s="448"/>
      <c r="G62" s="207" t="e">
        <f>+SUM(SUMIF($G$21:$G$34, "Jumbo*", $J$21:$J$34))/SUMPRODUCT((LEFT(G21:G34, 5)="Jumbo") / (COUNTIF(G21:G34, G21:G34 &amp; "") + (G21:G34="")))</f>
        <v>#DIV/0!</v>
      </c>
      <c r="H62" s="220" t="e">
        <f>+G62*24/($G$60*24)</f>
        <v>#DIV/0!</v>
      </c>
      <c r="I62" s="190"/>
      <c r="J62" s="190"/>
    </row>
    <row r="63" spans="2:13" ht="38" customHeight="1" x14ac:dyDescent="0.3">
      <c r="E63" s="448" t="s">
        <v>92</v>
      </c>
      <c r="F63" s="448"/>
      <c r="G63" s="221" t="e">
        <f>+SUM(V21:V34)/D60</f>
        <v>#DIV/0!</v>
      </c>
      <c r="H63" s="220" t="e">
        <f>+G63/G61</f>
        <v>#DIV/0!</v>
      </c>
      <c r="I63" s="190"/>
      <c r="J63" s="190"/>
    </row>
    <row r="64" spans="2:13" ht="38" customHeight="1" x14ac:dyDescent="0.3">
      <c r="G64" s="222" t="s">
        <v>87</v>
      </c>
      <c r="H64" s="139" t="s">
        <v>23</v>
      </c>
    </row>
    <row r="65" spans="2:10" ht="20" customHeight="1" x14ac:dyDescent="0.3">
      <c r="F65" s="208" t="s">
        <v>65</v>
      </c>
      <c r="G65" s="221">
        <f t="shared" ref="G65:G70" si="8" xml:space="preserve"> SUMIF($G$21:$G$34, +F65,$V$21:$V$34)</f>
        <v>0</v>
      </c>
      <c r="H65" s="220">
        <f t="shared" ref="H65:H70" si="9">+G65/$G$61</f>
        <v>0</v>
      </c>
    </row>
    <row r="66" spans="2:10" ht="20" customHeight="1" x14ac:dyDescent="0.3">
      <c r="F66" s="208" t="s">
        <v>66</v>
      </c>
      <c r="G66" s="221">
        <f t="shared" si="8"/>
        <v>0</v>
      </c>
      <c r="H66" s="220">
        <f t="shared" si="9"/>
        <v>0</v>
      </c>
    </row>
    <row r="67" spans="2:10" ht="20" customHeight="1" x14ac:dyDescent="0.3">
      <c r="F67" s="208" t="s">
        <v>67</v>
      </c>
      <c r="G67" s="221">
        <f t="shared" si="8"/>
        <v>0</v>
      </c>
      <c r="H67" s="220">
        <f t="shared" si="9"/>
        <v>0</v>
      </c>
    </row>
    <row r="68" spans="2:10" ht="20" customHeight="1" x14ac:dyDescent="0.3">
      <c r="F68" s="208" t="s">
        <v>68</v>
      </c>
      <c r="G68" s="221">
        <f t="shared" si="8"/>
        <v>0</v>
      </c>
      <c r="H68" s="220">
        <f t="shared" si="9"/>
        <v>0</v>
      </c>
    </row>
    <row r="69" spans="2:10" ht="20" customHeight="1" x14ac:dyDescent="0.3">
      <c r="F69" s="208" t="s">
        <v>69</v>
      </c>
      <c r="G69" s="221">
        <f t="shared" si="8"/>
        <v>0</v>
      </c>
      <c r="H69" s="220">
        <f t="shared" si="9"/>
        <v>0</v>
      </c>
    </row>
    <row r="70" spans="2:10" ht="20" customHeight="1" x14ac:dyDescent="0.3">
      <c r="F70" s="208" t="s">
        <v>70</v>
      </c>
      <c r="G70" s="221">
        <f t="shared" si="8"/>
        <v>0</v>
      </c>
      <c r="H70" s="220">
        <f t="shared" si="9"/>
        <v>0</v>
      </c>
    </row>
    <row r="71" spans="2:10" ht="20" customHeight="1" x14ac:dyDescent="0.3">
      <c r="F71" s="208" t="s">
        <v>146</v>
      </c>
      <c r="G71" s="223">
        <f>+SUM(G65:G70)</f>
        <v>0</v>
      </c>
      <c r="H71" s="220" t="e">
        <f>+G71/($G$61*$D$60)</f>
        <v>#DIV/0!</v>
      </c>
    </row>
    <row r="72" spans="2:10" ht="13.5" thickBot="1" x14ac:dyDescent="0.35"/>
    <row r="73" spans="2:10" ht="30" customHeight="1" thickBot="1" x14ac:dyDescent="0.35">
      <c r="B73" s="191"/>
      <c r="C73" s="446" t="s">
        <v>107</v>
      </c>
      <c r="D73" s="446"/>
      <c r="E73" s="192"/>
      <c r="F73" s="192"/>
      <c r="G73" s="192"/>
      <c r="H73" s="192"/>
      <c r="I73" s="216"/>
      <c r="J73" s="193"/>
    </row>
    <row r="74" spans="2:10" ht="38" customHeight="1" x14ac:dyDescent="0.3">
      <c r="C74" s="208" t="s">
        <v>95</v>
      </c>
      <c r="D74" s="195">
        <f>SUMPRODUCT((LEFT(G21:G34, 5)="Scoop") / (COUNTIF(G21:G34, G21:G34 &amp; "") + (G21:G34="")))</f>
        <v>0</v>
      </c>
      <c r="E74" s="447" t="s">
        <v>90</v>
      </c>
      <c r="F74" s="447"/>
      <c r="G74" s="218">
        <v>0.20833333333333334</v>
      </c>
      <c r="I74" s="139"/>
      <c r="J74" s="190"/>
    </row>
    <row r="75" spans="2:10" ht="38" customHeight="1" x14ac:dyDescent="0.3">
      <c r="C75" s="208" t="s">
        <v>145</v>
      </c>
      <c r="D75" s="195">
        <v>4.9000000000000004</v>
      </c>
      <c r="E75" s="447" t="s">
        <v>97</v>
      </c>
      <c r="F75" s="447"/>
      <c r="G75" s="195">
        <f>15000/(60)</f>
        <v>250</v>
      </c>
      <c r="H75" s="219" t="s">
        <v>23</v>
      </c>
      <c r="I75" s="139"/>
      <c r="J75" s="190"/>
    </row>
    <row r="76" spans="2:10" ht="38" customHeight="1" x14ac:dyDescent="0.3">
      <c r="E76" s="448" t="s">
        <v>98</v>
      </c>
      <c r="F76" s="448"/>
      <c r="G76" s="207" t="e">
        <f>+SUM(SUMIF($G$21:$G$34, "Scoop*", $J$21:$J$34))/SUMPRODUCT((LEFT(G21:G34, 5)="Scoop") / (COUNTIF(G21:G34, G21:G34 &amp; "") + (G21:G34="")))</f>
        <v>#DIV/0!</v>
      </c>
      <c r="H76" s="220" t="e">
        <f>+G76*24/($G$74*24)</f>
        <v>#DIV/0!</v>
      </c>
      <c r="I76" s="190"/>
      <c r="J76" s="190"/>
    </row>
    <row r="77" spans="2:10" ht="38" customHeight="1" x14ac:dyDescent="0.3">
      <c r="E77" s="448" t="s">
        <v>99</v>
      </c>
      <c r="F77" s="448"/>
      <c r="G77" s="221" t="e">
        <f>+SUM(W21:W34)*D75/D74</f>
        <v>#DIV/0!</v>
      </c>
      <c r="H77" s="220" t="e">
        <f>+G77/G75</f>
        <v>#DIV/0!</v>
      </c>
      <c r="I77" s="190"/>
      <c r="J77" s="190"/>
    </row>
    <row r="78" spans="2:10" ht="38" customHeight="1" x14ac:dyDescent="0.3">
      <c r="G78" s="222" t="s">
        <v>96</v>
      </c>
      <c r="H78" s="139" t="s">
        <v>23</v>
      </c>
    </row>
    <row r="79" spans="2:10" ht="20" customHeight="1" x14ac:dyDescent="0.3">
      <c r="F79" s="208" t="s">
        <v>71</v>
      </c>
      <c r="G79" s="221">
        <f t="shared" ref="G79:G84" si="10" xml:space="preserve"> SUMIF($G$21:$G$34, +F79,$W$21:$W$34)*$D$75</f>
        <v>0</v>
      </c>
      <c r="H79" s="220">
        <f>+G79/$G$75</f>
        <v>0</v>
      </c>
    </row>
    <row r="80" spans="2:10" ht="20" customHeight="1" x14ac:dyDescent="0.3">
      <c r="F80" s="208" t="s">
        <v>72</v>
      </c>
      <c r="G80" s="221">
        <f t="shared" si="10"/>
        <v>0</v>
      </c>
      <c r="H80" s="220">
        <f t="shared" ref="H80:H85" si="11">+G80/$G$75</f>
        <v>0</v>
      </c>
    </row>
    <row r="81" spans="2:10" ht="20" customHeight="1" x14ac:dyDescent="0.3">
      <c r="F81" s="208" t="s">
        <v>73</v>
      </c>
      <c r="G81" s="221">
        <f t="shared" si="10"/>
        <v>0</v>
      </c>
      <c r="H81" s="220">
        <f t="shared" si="11"/>
        <v>0</v>
      </c>
    </row>
    <row r="82" spans="2:10" ht="20" customHeight="1" x14ac:dyDescent="0.3">
      <c r="F82" s="208" t="s">
        <v>74</v>
      </c>
      <c r="G82" s="221">
        <f t="shared" si="10"/>
        <v>0</v>
      </c>
      <c r="H82" s="220">
        <f t="shared" si="11"/>
        <v>0</v>
      </c>
    </row>
    <row r="83" spans="2:10" ht="20" customHeight="1" x14ac:dyDescent="0.3">
      <c r="F83" s="208" t="s">
        <v>75</v>
      </c>
      <c r="G83" s="221">
        <f t="shared" si="10"/>
        <v>0</v>
      </c>
      <c r="H83" s="220">
        <f t="shared" si="11"/>
        <v>0</v>
      </c>
    </row>
    <row r="84" spans="2:10" ht="20" customHeight="1" x14ac:dyDescent="0.3">
      <c r="F84" s="208" t="s">
        <v>76</v>
      </c>
      <c r="G84" s="221">
        <f t="shared" si="10"/>
        <v>0</v>
      </c>
      <c r="H84" s="220">
        <f t="shared" si="11"/>
        <v>0</v>
      </c>
    </row>
    <row r="85" spans="2:10" ht="20" customHeight="1" x14ac:dyDescent="0.3">
      <c r="F85" s="208" t="s">
        <v>146</v>
      </c>
      <c r="G85" s="223">
        <f>+SUM(G79:G84)</f>
        <v>0</v>
      </c>
      <c r="H85" s="220">
        <f t="shared" si="11"/>
        <v>0</v>
      </c>
    </row>
    <row r="86" spans="2:10" ht="13.5" thickBot="1" x14ac:dyDescent="0.35"/>
    <row r="87" spans="2:10" ht="30" customHeight="1" thickBot="1" x14ac:dyDescent="0.35">
      <c r="B87" s="191"/>
      <c r="C87" s="446" t="s">
        <v>149</v>
      </c>
      <c r="D87" s="446"/>
      <c r="E87" s="192"/>
      <c r="F87" s="192"/>
      <c r="G87" s="192"/>
      <c r="H87" s="192"/>
      <c r="I87" s="216"/>
      <c r="J87" s="193"/>
    </row>
    <row r="88" spans="2:10" ht="25.25" customHeight="1" x14ac:dyDescent="0.3">
      <c r="C88" s="208" t="s">
        <v>150</v>
      </c>
      <c r="D88" s="195">
        <f>SUMPRODUCT((LEFT(G21:G34, 8)="Roboshot") / (COUNTIF(G21:G34, G21:G34 &amp; "") + (G21:G34="")))</f>
        <v>0</v>
      </c>
      <c r="E88" s="447" t="s">
        <v>90</v>
      </c>
      <c r="F88" s="447"/>
      <c r="G88" s="218">
        <v>0.20833333333333334</v>
      </c>
    </row>
    <row r="89" spans="2:10" x14ac:dyDescent="0.3">
      <c r="C89" s="208"/>
      <c r="D89" s="195"/>
      <c r="E89" s="447" t="s">
        <v>97</v>
      </c>
      <c r="F89" s="447"/>
      <c r="G89" s="195">
        <v>12</v>
      </c>
      <c r="H89" s="219" t="s">
        <v>23</v>
      </c>
    </row>
    <row r="91" spans="2:10" x14ac:dyDescent="0.3">
      <c r="G91" s="222" t="s">
        <v>96</v>
      </c>
      <c r="H91" s="139" t="s">
        <v>23</v>
      </c>
    </row>
    <row r="92" spans="2:10" x14ac:dyDescent="0.3">
      <c r="F92" s="208" t="s">
        <v>77</v>
      </c>
      <c r="G92" s="221">
        <f xml:space="preserve"> SUMIF($G$21:$G$34, +F92,$X$21:$X$34)</f>
        <v>0</v>
      </c>
      <c r="H92" s="220">
        <f>+G92/$G$89</f>
        <v>0</v>
      </c>
    </row>
    <row r="93" spans="2:10" x14ac:dyDescent="0.3">
      <c r="F93" s="208" t="s">
        <v>78</v>
      </c>
      <c r="G93" s="221">
        <f xml:space="preserve"> SUMIF($G$21:$G$34, +F93,$X$21:$X$34)</f>
        <v>0</v>
      </c>
      <c r="H93" s="220">
        <f t="shared" ref="H93:H94" si="12">+G93/$G$89</f>
        <v>0</v>
      </c>
    </row>
    <row r="94" spans="2:10" x14ac:dyDescent="0.3">
      <c r="F94" s="208" t="s">
        <v>79</v>
      </c>
      <c r="G94" s="221">
        <f xml:space="preserve"> SUMIF($G$21:$G$34, +F94,$X$21:$X$34)</f>
        <v>0</v>
      </c>
      <c r="H94" s="220">
        <f t="shared" si="12"/>
        <v>0</v>
      </c>
    </row>
    <row r="95" spans="2:10" x14ac:dyDescent="0.3">
      <c r="F95" s="208" t="s">
        <v>146</v>
      </c>
      <c r="G95" s="223">
        <f>+SUM(G92:G94)</f>
        <v>0</v>
      </c>
      <c r="H95" s="220">
        <f>+G95/$G$89</f>
        <v>0</v>
      </c>
    </row>
  </sheetData>
  <mergeCells count="41">
    <mergeCell ref="E89:F89"/>
    <mergeCell ref="C73:D73"/>
    <mergeCell ref="E74:F74"/>
    <mergeCell ref="E75:F75"/>
    <mergeCell ref="E76:F76"/>
    <mergeCell ref="E77:F77"/>
    <mergeCell ref="C87:D87"/>
    <mergeCell ref="C59:D59"/>
    <mergeCell ref="E60:F60"/>
    <mergeCell ref="E61:F61"/>
    <mergeCell ref="E62:F62"/>
    <mergeCell ref="E88:F88"/>
    <mergeCell ref="E63:F63"/>
    <mergeCell ref="E48:G48"/>
    <mergeCell ref="E49:G49"/>
    <mergeCell ref="E50:G50"/>
    <mergeCell ref="E51:G51"/>
    <mergeCell ref="E53:G53"/>
    <mergeCell ref="E54:G54"/>
    <mergeCell ref="E55:G55"/>
    <mergeCell ref="E47:G47"/>
    <mergeCell ref="K9:L9"/>
    <mergeCell ref="K10:L10"/>
    <mergeCell ref="K11:L11"/>
    <mergeCell ref="K12:L12"/>
    <mergeCell ref="B14:S14"/>
    <mergeCell ref="C39:D39"/>
    <mergeCell ref="G39:H39"/>
    <mergeCell ref="I39:J39"/>
    <mergeCell ref="K39:L39"/>
    <mergeCell ref="E40:F40"/>
    <mergeCell ref="E41:F41"/>
    <mergeCell ref="E42:F42"/>
    <mergeCell ref="E45:G45"/>
    <mergeCell ref="E46:G46"/>
    <mergeCell ref="K8:L8"/>
    <mergeCell ref="B1:D4"/>
    <mergeCell ref="E2:R2"/>
    <mergeCell ref="E3:R4"/>
    <mergeCell ref="K6:L6"/>
    <mergeCell ref="K7:L7"/>
  </mergeCells>
  <conditionalFormatting sqref="H41:H42 J41:J42">
    <cfRule type="cellIs" dxfId="419" priority="13" operator="greaterThan">
      <formula>0.9</formula>
    </cfRule>
    <cfRule type="cellIs" dxfId="418" priority="14" operator="between">
      <formula>0.81</formula>
      <formula>0.89</formula>
    </cfRule>
    <cfRule type="cellIs" dxfId="417" priority="15" operator="lessThan">
      <formula>0.8</formula>
    </cfRule>
  </conditionalFormatting>
  <conditionalFormatting sqref="H62:H63">
    <cfRule type="cellIs" dxfId="416" priority="16" operator="greaterThan">
      <formula>0.9</formula>
    </cfRule>
    <cfRule type="cellIs" dxfId="415" priority="17" operator="between">
      <formula>0.81</formula>
      <formula>0.89</formula>
    </cfRule>
    <cfRule type="cellIs" dxfId="414" priority="18" operator="lessThan">
      <formula>0.8</formula>
    </cfRule>
  </conditionalFormatting>
  <conditionalFormatting sqref="H65:H71">
    <cfRule type="cellIs" dxfId="413" priority="19" operator="greaterThan">
      <formula>0.9</formula>
    </cfRule>
    <cfRule type="cellIs" dxfId="412" priority="20" operator="between">
      <formula>0.81</formula>
      <formula>0.89</formula>
    </cfRule>
    <cfRule type="cellIs" dxfId="411" priority="21" operator="lessThan">
      <formula>0.8</formula>
    </cfRule>
  </conditionalFormatting>
  <conditionalFormatting sqref="H76:H77">
    <cfRule type="cellIs" dxfId="410" priority="7" operator="greaterThan">
      <formula>0.9</formula>
    </cfRule>
    <cfRule type="cellIs" dxfId="409" priority="8" operator="between">
      <formula>0.81</formula>
      <formula>0.89</formula>
    </cfRule>
    <cfRule type="cellIs" dxfId="408" priority="9" operator="lessThan">
      <formula>0.8</formula>
    </cfRule>
  </conditionalFormatting>
  <conditionalFormatting sqref="H79:H85">
    <cfRule type="cellIs" dxfId="407" priority="10" operator="greaterThan">
      <formula>0.9</formula>
    </cfRule>
    <cfRule type="cellIs" dxfId="406" priority="11" operator="between">
      <formula>0.81</formula>
      <formula>0.89</formula>
    </cfRule>
    <cfRule type="cellIs" dxfId="405" priority="12" operator="lessThan">
      <formula>0.8</formula>
    </cfRule>
  </conditionalFormatting>
  <conditionalFormatting sqref="H92:H95">
    <cfRule type="cellIs" dxfId="404" priority="4" operator="greaterThan">
      <formula>0.9</formula>
    </cfRule>
    <cfRule type="cellIs" dxfId="403" priority="5" operator="between">
      <formula>0.81</formula>
      <formula>0.89</formula>
    </cfRule>
    <cfRule type="cellIs" dxfId="402" priority="6" operator="lessThan">
      <formula>0.8</formula>
    </cfRule>
  </conditionalFormatting>
  <conditionalFormatting sqref="L41:L42">
    <cfRule type="cellIs" dxfId="401" priority="1" operator="greaterThan">
      <formula>0.9</formula>
    </cfRule>
    <cfRule type="cellIs" dxfId="400" priority="2" operator="between">
      <formula>0.81</formula>
      <formula>0.89</formula>
    </cfRule>
    <cfRule type="cellIs" dxfId="399" priority="3" operator="lessThan">
      <formula>0.8</formula>
    </cfRule>
  </conditionalFormatting>
  <pageMargins left="0.25" right="0.25" top="0.75" bottom="0.75" header="0.3" footer="0.3"/>
  <pageSetup scale="3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5BCFF6F-70F8-4FDB-994D-DFC47F49246E}">
          <x14:formula1>
            <xm:f>Datos!$B$3:$B$8</xm:f>
          </x14:formula1>
          <xm:sqref>E29:E37 E21:E26</xm:sqref>
        </x14:dataValidation>
        <x14:dataValidation type="list" allowBlank="1" showInputMessage="1" showErrorMessage="1" xr:uid="{84FBD2A2-DF29-453C-BFDB-A3815B168444}">
          <x14:formula1>
            <xm:f>Datos!$D$3:$D$27</xm:f>
          </x14:formula1>
          <xm:sqref>F29:F37 F21:F26</xm:sqref>
        </x14:dataValidation>
        <x14:dataValidation type="list" allowBlank="1" showInputMessage="1" showErrorMessage="1" xr:uid="{59B86758-D6BF-4A8D-8E0C-BADC52F1EB6F}">
          <x14:formula1>
            <xm:f>Datos!$W$3:$W$12</xm:f>
          </x14:formula1>
          <xm:sqref>L29:L37 L21:L26</xm:sqref>
        </x14:dataValidation>
        <x14:dataValidation type="list" allowBlank="1" showInputMessage="1" showErrorMessage="1" xr:uid="{630CA031-FC8B-40D1-969E-D6F6B3FC6EE7}">
          <x14:formula1>
            <xm:f>Datos!$F$3:$F$41</xm:f>
          </x14:formula1>
          <xm:sqref>G29:G37 G21:G26</xm:sqref>
        </x14:dataValidation>
        <x14:dataValidation type="list" allowBlank="1" showInputMessage="1" showErrorMessage="1" xr:uid="{048A9232-816A-45C9-AA7B-FB122E90EE13}">
          <x14:formula1>
            <xm:f>Datos!$H$3:$H$26</xm:f>
          </x14:formula1>
          <xm:sqref>D26 D37</xm:sqref>
        </x14:dataValidation>
        <x14:dataValidation type="list" allowBlank="1" showInputMessage="1" showErrorMessage="1" xr:uid="{53E49790-5AD1-44F2-85A3-91255372B5CB}">
          <x14:formula1>
            <xm:f>Datos!$H$3:$H$34</xm:f>
          </x14:formula1>
          <xm:sqref>D29:D36 D21:D25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0A33-40D7-4397-9E3A-419DCF192C12}">
  <sheetPr>
    <pageSetUpPr fitToPage="1"/>
  </sheetPr>
  <dimension ref="B1:X95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J26" sqref="J26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+G41</f>
        <v>0.50347222222222221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+H42</f>
        <v>0.76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110</v>
      </c>
      <c r="E21" s="172" t="s">
        <v>6</v>
      </c>
      <c r="F21" s="172" t="s">
        <v>165</v>
      </c>
      <c r="G21" s="172"/>
      <c r="H21" s="174">
        <v>0.82291666666666663</v>
      </c>
      <c r="I21" s="174">
        <v>0.84722222222222221</v>
      </c>
      <c r="J21" s="175">
        <f t="shared" ref="J21:J25" si="0">MOD(I21-H21, 1)</f>
        <v>2.430555555555558E-2</v>
      </c>
      <c r="K21" s="178"/>
      <c r="L21" s="177"/>
      <c r="M21" s="178"/>
      <c r="N21" s="179">
        <v>1</v>
      </c>
      <c r="O21" s="186" t="s">
        <v>460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172</v>
      </c>
      <c r="E22" s="172" t="s">
        <v>6</v>
      </c>
      <c r="F22" s="172" t="s">
        <v>165</v>
      </c>
      <c r="G22" s="172"/>
      <c r="H22" s="174">
        <v>0.875</v>
      </c>
      <c r="I22" s="174">
        <v>0.90625</v>
      </c>
      <c r="J22" s="175">
        <f t="shared" si="0"/>
        <v>3.125E-2</v>
      </c>
      <c r="K22" s="178"/>
      <c r="L22" s="177"/>
      <c r="M22" s="178"/>
      <c r="N22" s="179">
        <v>1</v>
      </c>
      <c r="O22" s="186" t="s">
        <v>459</v>
      </c>
      <c r="P22" s="181"/>
      <c r="Q22" s="174"/>
      <c r="R22" s="172"/>
      <c r="S22" s="175">
        <f t="shared" ref="S22:S26" si="1">+MOD(R22-Q22,1)</f>
        <v>0</v>
      </c>
      <c r="U22" s="182">
        <f>+IFERROR(VLOOKUP(D22,Datos!$R$3:$T$19,3,FALSE), "0")*N22</f>
        <v>0</v>
      </c>
      <c r="V22" s="183" t="str">
        <f t="shared" ref="V22:V26" si="2">IF(OR(D22="Perforación de Fortificación", D22="Perforación de Avance", D22="Perforación Desquinche"), K22*M22, "")</f>
        <v/>
      </c>
      <c r="W22" s="183" t="str">
        <f t="shared" ref="W22:W26" si="3">IF(D22="Extracción de Marina Disparo",K22,"")</f>
        <v/>
      </c>
      <c r="X22" s="183" t="str">
        <f t="shared" ref="X22:X26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63</v>
      </c>
      <c r="E23" s="172" t="s">
        <v>6</v>
      </c>
      <c r="F23" s="172" t="s">
        <v>165</v>
      </c>
      <c r="G23" s="172" t="s">
        <v>203</v>
      </c>
      <c r="H23" s="174">
        <v>0.91319444444444442</v>
      </c>
      <c r="I23" s="174">
        <v>0.10416666666666667</v>
      </c>
      <c r="J23" s="175">
        <f t="shared" si="0"/>
        <v>0.19097222222222221</v>
      </c>
      <c r="K23" s="178">
        <v>35</v>
      </c>
      <c r="L23" s="177" t="s">
        <v>138</v>
      </c>
      <c r="M23" s="178">
        <v>4</v>
      </c>
      <c r="N23" s="179">
        <v>1</v>
      </c>
      <c r="O23" s="186" t="s">
        <v>461</v>
      </c>
      <c r="P23" s="181"/>
      <c r="Q23" s="174"/>
      <c r="R23" s="172"/>
      <c r="S23" s="175">
        <f t="shared" si="1"/>
        <v>0</v>
      </c>
      <c r="U23" s="182">
        <f>+IFERROR(VLOOKUP(D23,Datos!$R$3:$T$19,3,FALSE), "0")*N23</f>
        <v>0.13519680547632629</v>
      </c>
      <c r="V23" s="183">
        <f t="shared" si="2"/>
        <v>140</v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105</v>
      </c>
      <c r="E24" s="172" t="s">
        <v>6</v>
      </c>
      <c r="F24" s="172" t="s">
        <v>165</v>
      </c>
      <c r="G24" s="172" t="s">
        <v>204</v>
      </c>
      <c r="H24" s="174">
        <v>9.7222222222222224E-2</v>
      </c>
      <c r="I24" s="174">
        <v>0.25</v>
      </c>
      <c r="J24" s="175">
        <f t="shared" si="0"/>
        <v>0.15277777777777779</v>
      </c>
      <c r="K24" s="178">
        <v>30</v>
      </c>
      <c r="L24" s="177" t="s">
        <v>128</v>
      </c>
      <c r="M24" s="178"/>
      <c r="N24" s="179">
        <v>0.6</v>
      </c>
      <c r="O24" s="186" t="s">
        <v>462</v>
      </c>
      <c r="P24" s="181"/>
      <c r="Q24" s="174"/>
      <c r="R24" s="174"/>
      <c r="S24" s="175"/>
      <c r="U24" s="182">
        <f>+IFERROR(VLOOKUP(D24,Datos!$R$3:$T$19,3,FALSE), "0")*N24</f>
        <v>0</v>
      </c>
      <c r="V24" s="183"/>
      <c r="W24" s="183"/>
      <c r="X24" s="183"/>
    </row>
    <row r="25" spans="2:24" ht="37.75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288</v>
      </c>
      <c r="E25" s="172" t="s">
        <v>6</v>
      </c>
      <c r="F25" s="172" t="s">
        <v>165</v>
      </c>
      <c r="G25" s="172" t="s">
        <v>210</v>
      </c>
      <c r="H25" s="174">
        <v>0.14583333333333334</v>
      </c>
      <c r="I25" s="174">
        <v>0.25</v>
      </c>
      <c r="J25" s="175">
        <f t="shared" si="0"/>
        <v>0.10416666666666666</v>
      </c>
      <c r="K25" s="178">
        <v>60</v>
      </c>
      <c r="L25" s="177" t="s">
        <v>126</v>
      </c>
      <c r="M25" s="178"/>
      <c r="N25" s="179">
        <v>0.2</v>
      </c>
      <c r="O25" s="186" t="s">
        <v>463</v>
      </c>
      <c r="P25" s="181"/>
      <c r="Q25" s="174"/>
      <c r="R25" s="174"/>
      <c r="S25" s="175"/>
      <c r="U25" s="182">
        <f>+IFERROR(VLOOKUP(D25,Datos!$R$3:$T$19,3,FALSE), "0")*N25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 t="s">
        <v>329</v>
      </c>
      <c r="J26" s="175">
        <f>MOD(I25-H21, 1)</f>
        <v>0.42708333333333337</v>
      </c>
      <c r="K26" s="178"/>
      <c r="L26" s="177"/>
      <c r="M26" s="178"/>
      <c r="N26" s="179"/>
      <c r="O26" s="186" t="s">
        <v>436</v>
      </c>
      <c r="P26" s="172"/>
      <c r="Q26" s="172"/>
      <c r="R26" s="172"/>
      <c r="S26" s="175">
        <f t="shared" si="1"/>
        <v>0</v>
      </c>
      <c r="U26" s="182">
        <f>SUM(U21:U25)</f>
        <v>0.13519680547632629</v>
      </c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 t="s">
        <v>110</v>
      </c>
      <c r="E29" s="172" t="s">
        <v>6</v>
      </c>
      <c r="F29" s="172" t="s">
        <v>166</v>
      </c>
      <c r="G29" s="172"/>
      <c r="H29" s="174">
        <v>0.83333333333333337</v>
      </c>
      <c r="I29" s="174">
        <v>1.3333333333333333</v>
      </c>
      <c r="J29" s="175">
        <f>I29-H29</f>
        <v>0.49999999999999989</v>
      </c>
      <c r="K29" s="178"/>
      <c r="L29" s="177"/>
      <c r="M29" s="178"/>
      <c r="N29" s="179">
        <v>1</v>
      </c>
      <c r="O29" s="186" t="s">
        <v>428</v>
      </c>
      <c r="P29" s="225"/>
      <c r="Q29" s="174"/>
      <c r="R29" s="174"/>
      <c r="S29" s="175"/>
      <c r="U29" s="187">
        <f>+IFERROR(VLOOKUP(D29,Datos!$R$24:$T$40,3,FALSE), "0")*N29</f>
        <v>0</v>
      </c>
      <c r="V29" s="183" t="str">
        <f t="shared" ref="V29:V37" si="5">IF(OR(D29="Perforación de Fortificación", D29="Perforación de Avance", D29="Perforación Desquinche"), K29*M29, "")</f>
        <v/>
      </c>
      <c r="W29" s="183" t="str">
        <f>IF(D29="Extracción de Marina Disparo",K29,"")</f>
        <v/>
      </c>
      <c r="X29" s="183" t="str">
        <f t="shared" ref="X29:X37" si="6">IF(OR(D29="Shotcrete", D29="Pre Shotcrete"), K29, "")</f>
        <v/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73"/>
      <c r="Q30" s="174"/>
      <c r="R30" s="174"/>
      <c r="S30" s="175"/>
      <c r="U30" s="187">
        <f>+IFERROR(VLOOKUP(D30,Datos!$R$24:$T$40,3,FALSE), "0")*N30</f>
        <v>0</v>
      </c>
      <c r="V30" s="183" t="str">
        <f t="shared" si="5"/>
        <v/>
      </c>
      <c r="W30" s="183" t="str">
        <f>IF(D30="Extracción de Marina Disparo",K30,"")</f>
        <v/>
      </c>
      <c r="X30" s="183" t="str">
        <f t="shared" si="6"/>
        <v/>
      </c>
    </row>
    <row r="31" spans="2:24" ht="53.4" customHeight="1" x14ac:dyDescent="0.3">
      <c r="B31" s="172">
        <v>3700</v>
      </c>
      <c r="C31" s="173" t="str">
        <f>+C29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81"/>
      <c r="Q31" s="174"/>
      <c r="R31" s="174"/>
      <c r="S31" s="175"/>
      <c r="U31" s="187">
        <f>+IFERROR(VLOOKUP(D31,Datos!$R$24:$T$40,3,FALSE), "0")*N31</f>
        <v>0</v>
      </c>
      <c r="V31" s="183" t="str">
        <f t="shared" si="5"/>
        <v/>
      </c>
      <c r="W31" s="183" t="str">
        <f t="shared" ref="W31:W37" si="7">IF(D31="Extracción de Marina Disparo",K31,"")</f>
        <v/>
      </c>
      <c r="X31" s="183" t="str">
        <f t="shared" si="6"/>
        <v/>
      </c>
    </row>
    <row r="32" spans="2:24" ht="38" customHeight="1" x14ac:dyDescent="0.3">
      <c r="B32" s="172">
        <v>3700</v>
      </c>
      <c r="C32" s="173" t="s">
        <v>397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72"/>
      <c r="Q32" s="172"/>
      <c r="R32" s="172"/>
      <c r="S32" s="175"/>
      <c r="U32" s="187">
        <f>+IFERROR(VLOOKUP(D32,Datos!$R$24:$T$40,3,FALSE), "0")*N32</f>
        <v>0</v>
      </c>
      <c r="V32" s="183" t="str">
        <f t="shared" si="5"/>
        <v/>
      </c>
      <c r="W32" s="183" t="str">
        <f t="shared" si="7"/>
        <v/>
      </c>
      <c r="X32" s="183"/>
    </row>
    <row r="33" spans="2:24" ht="38" customHeight="1" x14ac:dyDescent="0.3">
      <c r="B33" s="172">
        <v>3700</v>
      </c>
      <c r="C33" s="173" t="str">
        <f>+C32</f>
        <v>Fróntón Bodega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81"/>
      <c r="Q33" s="174"/>
      <c r="R33" s="174"/>
      <c r="S33" s="175"/>
      <c r="U33" s="187">
        <f>+IFERROR(VLOOKUP(D33,Datos!$R$24:$T$40,3,FALSE), "0")*N33</f>
        <v>0</v>
      </c>
      <c r="V33" s="183" t="str">
        <f t="shared" si="5"/>
        <v/>
      </c>
      <c r="W33" s="183" t="str">
        <f t="shared" si="7"/>
        <v/>
      </c>
      <c r="X33" s="183" t="str">
        <f t="shared" si="6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225"/>
      <c r="P34" s="172"/>
      <c r="Q34" s="172"/>
      <c r="R34" s="172"/>
      <c r="S34" s="175">
        <f t="shared" ref="S34:S37" si="8">+MOD(R34-Q34,1)</f>
        <v>0</v>
      </c>
      <c r="U34" s="187">
        <f>+IFERROR(VLOOKUP(D34,Datos!$R$24:$T$40,3,FALSE), "0")*N34</f>
        <v>0</v>
      </c>
      <c r="V34" s="183" t="str">
        <f t="shared" si="5"/>
        <v/>
      </c>
      <c r="W34" s="183" t="str">
        <f t="shared" si="7"/>
        <v/>
      </c>
      <c r="X34" s="183" t="str">
        <f t="shared" si="6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8"/>
        <v>0</v>
      </c>
      <c r="U35" s="187"/>
      <c r="V35" s="183" t="str">
        <f t="shared" si="5"/>
        <v/>
      </c>
      <c r="W35" s="183" t="str">
        <f t="shared" si="7"/>
        <v/>
      </c>
      <c r="X35" s="183" t="str">
        <f t="shared" si="6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8"/>
        <v>0</v>
      </c>
      <c r="U36" s="187"/>
      <c r="V36" s="183" t="str">
        <f t="shared" si="5"/>
        <v/>
      </c>
      <c r="W36" s="183" t="str">
        <f t="shared" si="7"/>
        <v/>
      </c>
      <c r="X36" s="183" t="str">
        <f t="shared" si="6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 t="s">
        <v>329</v>
      </c>
      <c r="J37" s="175"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8"/>
        <v>0</v>
      </c>
      <c r="U37" s="182">
        <f>SUM(U29:U36)</f>
        <v>0</v>
      </c>
      <c r="V37" s="183" t="str">
        <f t="shared" si="5"/>
        <v/>
      </c>
      <c r="W37" s="183" t="str">
        <f t="shared" si="7"/>
        <v/>
      </c>
      <c r="X37" s="183" t="str">
        <f t="shared" si="6"/>
        <v/>
      </c>
    </row>
    <row r="38" spans="2:24" ht="15.65" customHeight="1" thickBot="1" x14ac:dyDescent="0.35">
      <c r="B38" s="190"/>
      <c r="C38" s="190"/>
      <c r="D38" s="190"/>
      <c r="E38" s="190"/>
      <c r="F38" s="190"/>
      <c r="G38" s="190"/>
      <c r="H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</row>
    <row r="39" spans="2:24" ht="30" customHeight="1" thickBot="1" x14ac:dyDescent="0.35">
      <c r="B39" s="191"/>
      <c r="C39" s="446" t="s">
        <v>64</v>
      </c>
      <c r="D39" s="446"/>
      <c r="E39" s="192"/>
      <c r="F39" s="192"/>
      <c r="G39" s="431">
        <v>3500</v>
      </c>
      <c r="H39" s="432"/>
      <c r="I39" s="431">
        <v>3700</v>
      </c>
      <c r="J39" s="432"/>
      <c r="K39" s="433" t="s">
        <v>146</v>
      </c>
      <c r="L39" s="434"/>
      <c r="M39" s="190"/>
      <c r="N39" s="190"/>
      <c r="O39" s="190"/>
      <c r="P39" s="190"/>
      <c r="Q39" s="190"/>
      <c r="R39" s="190"/>
      <c r="S39" s="190"/>
    </row>
    <row r="40" spans="2:24" ht="30" customHeight="1" x14ac:dyDescent="0.3">
      <c r="C40" s="194" t="s">
        <v>48</v>
      </c>
      <c r="D40" s="195">
        <f>SUMPRODUCT((LEFT(F21:F34, 1)="C") / (COUNTIF(F21:F34, F21:F34 &amp; "") + (F21:F34="")))</f>
        <v>0</v>
      </c>
      <c r="E40" s="447" t="s">
        <v>90</v>
      </c>
      <c r="F40" s="447"/>
      <c r="G40" s="196">
        <v>0.26041666666666669</v>
      </c>
      <c r="H40" s="197" t="s">
        <v>23</v>
      </c>
      <c r="I40" s="196">
        <v>0.26041666666666669</v>
      </c>
      <c r="J40" s="197" t="s">
        <v>23</v>
      </c>
      <c r="K40" s="198">
        <f>+G40</f>
        <v>0.26041666666666669</v>
      </c>
      <c r="L40" s="197" t="s">
        <v>23</v>
      </c>
      <c r="M40" s="190"/>
      <c r="N40" s="190"/>
      <c r="O40" s="190"/>
      <c r="P40" s="190"/>
      <c r="Q40" s="190"/>
      <c r="R40" s="190"/>
      <c r="S40" s="190"/>
    </row>
    <row r="41" spans="2:24" x14ac:dyDescent="0.3">
      <c r="C41" s="194" t="s">
        <v>49</v>
      </c>
      <c r="D41" s="195">
        <f>SUMPRODUCT((LEFT(F21:F34, 1)="O") / (COUNTIF(F21:F34, F21:F34 &amp; "") + (F21:F34="")))</f>
        <v>0</v>
      </c>
      <c r="E41" s="448" t="s">
        <v>198</v>
      </c>
      <c r="F41" s="448"/>
      <c r="G41" s="199">
        <f>SUM(J21:J25)</f>
        <v>0.50347222222222221</v>
      </c>
      <c r="H41" s="200">
        <f>+G41*24/($G$40*24)</f>
        <v>1.9333333333333331</v>
      </c>
      <c r="I41" s="199">
        <f>SUM(J29:J34)</f>
        <v>0.49999999999999989</v>
      </c>
      <c r="J41" s="200">
        <f>+I41*24/($I$40*24)</f>
        <v>1.9199999999999995</v>
      </c>
      <c r="K41" s="201">
        <f>AVERAGE(G41+I41)/2</f>
        <v>0.50173611111111105</v>
      </c>
      <c r="L41" s="200">
        <f>+K41*24/($K$40*24)</f>
        <v>1.9266666666666663</v>
      </c>
      <c r="M41" s="190"/>
      <c r="N41" s="190"/>
      <c r="O41" s="190"/>
      <c r="P41" s="190"/>
      <c r="Q41" s="190"/>
      <c r="R41" s="190"/>
      <c r="S41" s="190"/>
    </row>
    <row r="42" spans="2:24" ht="43.25" customHeight="1" thickBot="1" x14ac:dyDescent="0.35">
      <c r="E42" s="448" t="s">
        <v>94</v>
      </c>
      <c r="F42" s="448"/>
      <c r="G42" s="202"/>
      <c r="H42" s="203">
        <f>+AVERAGE(N21:N26)</f>
        <v>0.76</v>
      </c>
      <c r="I42" s="202"/>
      <c r="J42" s="203">
        <f>+AVERAGE(N29:N34)</f>
        <v>1</v>
      </c>
      <c r="K42" s="204"/>
      <c r="L42" s="203">
        <f>+AVERAGE(N21:N34)</f>
        <v>0.80000000000000016</v>
      </c>
    </row>
    <row r="43" spans="2:24" ht="43.25" customHeight="1" x14ac:dyDescent="0.3">
      <c r="E43" s="205"/>
      <c r="F43" s="205"/>
      <c r="G43" s="206"/>
      <c r="H43" s="206"/>
      <c r="I43" s="137"/>
      <c r="J43" s="137"/>
      <c r="K43" s="137"/>
      <c r="L43" s="137"/>
    </row>
    <row r="44" spans="2:24" ht="43.25" customHeight="1" x14ac:dyDescent="0.3">
      <c r="E44" s="194"/>
      <c r="F44" s="194"/>
      <c r="G44" s="207"/>
      <c r="H44" s="208" t="s">
        <v>24</v>
      </c>
      <c r="I44" s="208" t="s">
        <v>199</v>
      </c>
      <c r="J44" s="208" t="s">
        <v>201</v>
      </c>
      <c r="K44" s="208" t="s">
        <v>404</v>
      </c>
      <c r="L44" s="345" t="s">
        <v>484</v>
      </c>
      <c r="M44" s="345" t="s">
        <v>485</v>
      </c>
      <c r="N44" s="208"/>
    </row>
    <row r="45" spans="2:24" ht="14.5" x14ac:dyDescent="0.35">
      <c r="E45" s="445" t="s">
        <v>174</v>
      </c>
      <c r="F45" s="445"/>
      <c r="G45" s="445"/>
      <c r="H45" s="209">
        <f>+U37</f>
        <v>0</v>
      </c>
      <c r="I45" s="298">
        <f>+H45*$J$45*$K$45</f>
        <v>0</v>
      </c>
      <c r="J45" s="298">
        <v>6.6</v>
      </c>
      <c r="K45" s="246">
        <v>3.42</v>
      </c>
      <c r="L45" s="344">
        <v>56.080975609756102</v>
      </c>
      <c r="M45" s="344">
        <f>+L45*K45*H45</f>
        <v>0</v>
      </c>
    </row>
    <row r="46" spans="2:24" ht="14.4" customHeight="1" x14ac:dyDescent="0.35">
      <c r="E46" s="445" t="s">
        <v>224</v>
      </c>
      <c r="F46" s="445"/>
      <c r="G46" s="445"/>
      <c r="H46" s="209"/>
      <c r="I46" s="298">
        <f>+J46*K46</f>
        <v>0</v>
      </c>
      <c r="J46" s="298">
        <f>1892/1000000</f>
        <v>1.892E-3</v>
      </c>
      <c r="K46" s="246">
        <f>+((15*4.4)*2.72)*0</f>
        <v>0</v>
      </c>
      <c r="L46" s="346">
        <v>1.6919982016368774E-2</v>
      </c>
      <c r="M46" s="344">
        <f>+L46*K46</f>
        <v>0</v>
      </c>
    </row>
    <row r="47" spans="2:24" ht="14.4" customHeight="1" x14ac:dyDescent="0.35">
      <c r="E47" s="445" t="s">
        <v>359</v>
      </c>
      <c r="F47" s="445"/>
      <c r="G47" s="445"/>
      <c r="H47" s="209"/>
      <c r="I47" s="298">
        <f>+J47*K47</f>
        <v>0</v>
      </c>
      <c r="J47" s="298">
        <v>0.340368</v>
      </c>
      <c r="K47" s="246">
        <v>0</v>
      </c>
      <c r="L47" s="346">
        <v>2.2358937544867188</v>
      </c>
      <c r="M47" s="344">
        <f>+L47*K47</f>
        <v>0</v>
      </c>
    </row>
    <row r="48" spans="2:24" ht="14.4" customHeight="1" x14ac:dyDescent="0.35">
      <c r="E48" s="445" t="s">
        <v>376</v>
      </c>
      <c r="F48" s="445"/>
      <c r="G48" s="445"/>
      <c r="H48" s="209">
        <v>0</v>
      </c>
      <c r="I48" s="298">
        <f>+H48*$J$48*$K$48</f>
        <v>0</v>
      </c>
      <c r="J48" s="298">
        <f>23683234/1000000</f>
        <v>23.683233999999999</v>
      </c>
      <c r="K48" s="226">
        <v>0</v>
      </c>
      <c r="L48" s="346">
        <v>254.98967741935485</v>
      </c>
      <c r="M48" s="344">
        <f>+L48*K48*H48</f>
        <v>0</v>
      </c>
    </row>
    <row r="49" spans="2:13" ht="14.4" customHeight="1" x14ac:dyDescent="0.35">
      <c r="E49" s="445" t="s">
        <v>236</v>
      </c>
      <c r="F49" s="445"/>
      <c r="G49" s="445"/>
      <c r="H49" s="209"/>
      <c r="I49" s="298">
        <f>+J49*K49</f>
        <v>0</v>
      </c>
      <c r="J49" s="298">
        <f>25508/1000000</f>
        <v>2.5507999999999999E-2</v>
      </c>
      <c r="K49" s="246">
        <f>7/(0.05)*0</f>
        <v>0</v>
      </c>
      <c r="L49" s="347" t="s">
        <v>486</v>
      </c>
      <c r="M49" s="349"/>
    </row>
    <row r="50" spans="2:13" ht="14.4" customHeight="1" x14ac:dyDescent="0.35">
      <c r="E50" s="445" t="s">
        <v>451</v>
      </c>
      <c r="F50" s="445"/>
      <c r="G50" s="445"/>
      <c r="H50" s="209">
        <v>1</v>
      </c>
      <c r="I50" s="298">
        <f>H50*J50</f>
        <v>7.9892054999999997</v>
      </c>
      <c r="J50" s="298">
        <f>15978411/2000000</f>
        <v>7.9892054999999997</v>
      </c>
      <c r="K50" s="246"/>
      <c r="L50" s="347" t="s">
        <v>486</v>
      </c>
      <c r="M50" s="344"/>
    </row>
    <row r="51" spans="2:13" ht="14.4" customHeight="1" x14ac:dyDescent="0.35">
      <c r="E51" s="445" t="s">
        <v>298</v>
      </c>
      <c r="F51" s="445"/>
      <c r="G51" s="445"/>
      <c r="H51" s="209"/>
      <c r="I51" s="210">
        <f>SUM(I45:I50)</f>
        <v>7.9892054999999997</v>
      </c>
      <c r="J51" s="214"/>
      <c r="K51" s="246"/>
      <c r="L51" s="344"/>
      <c r="M51" s="344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/>
    </row>
    <row r="53" spans="2:13" ht="14.4" customHeight="1" x14ac:dyDescent="0.35">
      <c r="E53" s="445" t="s">
        <v>175</v>
      </c>
      <c r="F53" s="445"/>
      <c r="G53" s="445"/>
      <c r="H53" s="209">
        <f>+U26</f>
        <v>0.13519680547632629</v>
      </c>
      <c r="I53" s="210">
        <f>+H53*$J$53*$K$53</f>
        <v>6.3812892184826016</v>
      </c>
      <c r="J53" s="211">
        <v>11.8</v>
      </c>
      <c r="K53" s="246">
        <v>4</v>
      </c>
      <c r="L53" s="344">
        <v>118.52055555555555</v>
      </c>
      <c r="M53" s="344">
        <f>+L53*K53*H53</f>
        <v>64.094401977562271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0</v>
      </c>
      <c r="J54" s="296">
        <f>+J46*0</f>
        <v>0</v>
      </c>
      <c r="K54" s="215">
        <f>+((15*2.8)*2.72)*0</f>
        <v>0</v>
      </c>
      <c r="L54" s="346">
        <v>1.6919982016368774E-2</v>
      </c>
      <c r="M54" s="344">
        <f>+L54*K54</f>
        <v>0</v>
      </c>
    </row>
    <row r="55" spans="2:13" ht="14.4" customHeight="1" x14ac:dyDescent="0.35">
      <c r="E55" s="445" t="s">
        <v>297</v>
      </c>
      <c r="F55" s="445"/>
      <c r="G55" s="445"/>
      <c r="H55" s="209"/>
      <c r="I55" s="210">
        <f>SUM(I53:I54)</f>
        <v>6.3812892184826016</v>
      </c>
      <c r="J55" s="214"/>
      <c r="K55" s="246"/>
      <c r="L55" s="347"/>
      <c r="M55" s="349"/>
    </row>
    <row r="56" spans="2:13" ht="14.4" customHeight="1" x14ac:dyDescent="0.3">
      <c r="E56" s="227"/>
      <c r="F56" s="227"/>
      <c r="G56" s="227"/>
      <c r="H56" s="209"/>
      <c r="I56" s="210"/>
      <c r="J56" s="214"/>
      <c r="K56" s="246"/>
      <c r="L56" s="213"/>
      <c r="M56" s="352">
        <f>SUM(M45:M55)</f>
        <v>64.094401977562271</v>
      </c>
    </row>
    <row r="57" spans="2:13" ht="14.4" customHeight="1" x14ac:dyDescent="0.3">
      <c r="L57" s="213"/>
    </row>
    <row r="58" spans="2:13" ht="7.75" customHeight="1" thickBot="1" x14ac:dyDescent="0.35"/>
    <row r="59" spans="2:13" ht="30" customHeight="1" thickBot="1" x14ac:dyDescent="0.35">
      <c r="B59" s="191"/>
      <c r="C59" s="446" t="s">
        <v>88</v>
      </c>
      <c r="D59" s="446"/>
      <c r="E59" s="192"/>
      <c r="F59" s="192"/>
      <c r="G59" s="192"/>
      <c r="H59" s="192"/>
      <c r="I59" s="216"/>
      <c r="J59" s="193"/>
    </row>
    <row r="60" spans="2:13" ht="38" customHeight="1" x14ac:dyDescent="0.3">
      <c r="C60" s="217" t="s">
        <v>89</v>
      </c>
      <c r="D60" s="195">
        <f>SUMPRODUCT((LEFT(G21:G34, 5)="Jumbo") / (COUNTIF(G21:G34, G21:G34 &amp; "") + (G21:G34="")))</f>
        <v>1</v>
      </c>
      <c r="E60" s="447" t="s">
        <v>90</v>
      </c>
      <c r="F60" s="447"/>
      <c r="G60" s="218">
        <v>0.20833333333333334</v>
      </c>
      <c r="I60" s="139"/>
      <c r="J60" s="190"/>
    </row>
    <row r="61" spans="2:13" ht="38" customHeight="1" x14ac:dyDescent="0.3">
      <c r="E61" s="447" t="s">
        <v>93</v>
      </c>
      <c r="F61" s="447"/>
      <c r="G61" s="195">
        <f>15000/(60)</f>
        <v>250</v>
      </c>
      <c r="H61" s="219" t="s">
        <v>143</v>
      </c>
      <c r="I61" s="139"/>
      <c r="J61" s="190"/>
    </row>
    <row r="62" spans="2:13" ht="38" customHeight="1" x14ac:dyDescent="0.3">
      <c r="E62" s="448" t="s">
        <v>91</v>
      </c>
      <c r="F62" s="448"/>
      <c r="G62" s="207">
        <f>+SUM(SUMIF($G$21:$G$34, "Jumbo*", $J$21:$J$34))/SUMPRODUCT((LEFT(G21:G34, 5)="Jumbo") / (COUNTIF(G21:G34, G21:G34 &amp; "") + (G21:G34="")))</f>
        <v>0.19097222222222221</v>
      </c>
      <c r="H62" s="220">
        <f>+G62*24/($G$60*24)</f>
        <v>0.91666666666666663</v>
      </c>
      <c r="I62" s="190"/>
      <c r="J62" s="190"/>
    </row>
    <row r="63" spans="2:13" ht="38" customHeight="1" x14ac:dyDescent="0.3">
      <c r="E63" s="448" t="s">
        <v>92</v>
      </c>
      <c r="F63" s="448"/>
      <c r="G63" s="221">
        <f>+SUM(V21:V34)/D60</f>
        <v>140</v>
      </c>
      <c r="H63" s="220">
        <f>+G63/G61</f>
        <v>0.56000000000000005</v>
      </c>
      <c r="I63" s="190"/>
      <c r="J63" s="190"/>
    </row>
    <row r="64" spans="2:13" ht="38" customHeight="1" x14ac:dyDescent="0.3">
      <c r="G64" s="222" t="s">
        <v>87</v>
      </c>
      <c r="H64" s="139" t="s">
        <v>23</v>
      </c>
    </row>
    <row r="65" spans="2:10" ht="20" customHeight="1" x14ac:dyDescent="0.3">
      <c r="F65" s="208" t="s">
        <v>65</v>
      </c>
      <c r="G65" s="221">
        <f t="shared" ref="G65:G70" si="9" xml:space="preserve"> SUMIF($G$21:$G$34, +F65,$V$21:$V$34)</f>
        <v>0</v>
      </c>
      <c r="H65" s="220">
        <f t="shared" ref="H65:H70" si="10">+G65/$G$61</f>
        <v>0</v>
      </c>
    </row>
    <row r="66" spans="2:10" ht="20" customHeight="1" x14ac:dyDescent="0.3">
      <c r="F66" s="208" t="s">
        <v>66</v>
      </c>
      <c r="G66" s="221">
        <f t="shared" si="9"/>
        <v>0</v>
      </c>
      <c r="H66" s="220">
        <f t="shared" si="10"/>
        <v>0</v>
      </c>
    </row>
    <row r="67" spans="2:10" ht="20" customHeight="1" x14ac:dyDescent="0.3">
      <c r="F67" s="208" t="s">
        <v>67</v>
      </c>
      <c r="G67" s="221">
        <f t="shared" si="9"/>
        <v>0</v>
      </c>
      <c r="H67" s="220">
        <f t="shared" si="10"/>
        <v>0</v>
      </c>
    </row>
    <row r="68" spans="2:10" ht="20" customHeight="1" x14ac:dyDescent="0.3">
      <c r="F68" s="208" t="s">
        <v>68</v>
      </c>
      <c r="G68" s="221">
        <f t="shared" si="9"/>
        <v>0</v>
      </c>
      <c r="H68" s="220">
        <f t="shared" si="10"/>
        <v>0</v>
      </c>
    </row>
    <row r="69" spans="2:10" ht="20" customHeight="1" x14ac:dyDescent="0.3">
      <c r="F69" s="208" t="s">
        <v>69</v>
      </c>
      <c r="G69" s="221">
        <f t="shared" si="9"/>
        <v>0</v>
      </c>
      <c r="H69" s="220">
        <f t="shared" si="10"/>
        <v>0</v>
      </c>
    </row>
    <row r="70" spans="2:10" ht="20" customHeight="1" x14ac:dyDescent="0.3">
      <c r="F70" s="208" t="s">
        <v>70</v>
      </c>
      <c r="G70" s="221">
        <f t="shared" si="9"/>
        <v>0</v>
      </c>
      <c r="H70" s="220">
        <f t="shared" si="10"/>
        <v>0</v>
      </c>
    </row>
    <row r="71" spans="2:10" ht="20" customHeight="1" x14ac:dyDescent="0.3">
      <c r="F71" s="208" t="s">
        <v>146</v>
      </c>
      <c r="G71" s="223">
        <f>+SUM(G65:G70)</f>
        <v>0</v>
      </c>
      <c r="H71" s="220">
        <f>+G71/($G$61*$D$60)</f>
        <v>0</v>
      </c>
    </row>
    <row r="72" spans="2:10" ht="13.5" thickBot="1" x14ac:dyDescent="0.35"/>
    <row r="73" spans="2:10" ht="30" customHeight="1" thickBot="1" x14ac:dyDescent="0.35">
      <c r="B73" s="191"/>
      <c r="C73" s="446" t="s">
        <v>107</v>
      </c>
      <c r="D73" s="446"/>
      <c r="E73" s="192"/>
      <c r="F73" s="192"/>
      <c r="G73" s="192"/>
      <c r="H73" s="192"/>
      <c r="I73" s="216"/>
      <c r="J73" s="193"/>
    </row>
    <row r="74" spans="2:10" ht="38" customHeight="1" x14ac:dyDescent="0.3">
      <c r="C74" s="208" t="s">
        <v>95</v>
      </c>
      <c r="D74" s="195">
        <f>SUMPRODUCT((LEFT(G21:G34, 5)="Scoop") / (COUNTIF(G21:G34, G21:G34 &amp; "") + (G21:G34="")))</f>
        <v>1</v>
      </c>
      <c r="E74" s="447" t="s">
        <v>90</v>
      </c>
      <c r="F74" s="447"/>
      <c r="G74" s="218">
        <v>0.20833333333333334</v>
      </c>
      <c r="I74" s="139"/>
      <c r="J74" s="190"/>
    </row>
    <row r="75" spans="2:10" ht="38" customHeight="1" x14ac:dyDescent="0.3">
      <c r="C75" s="208" t="s">
        <v>145</v>
      </c>
      <c r="D75" s="195">
        <v>4.9000000000000004</v>
      </c>
      <c r="E75" s="447" t="s">
        <v>97</v>
      </c>
      <c r="F75" s="447"/>
      <c r="G75" s="195">
        <f>15000/(60)</f>
        <v>250</v>
      </c>
      <c r="H75" s="219" t="s">
        <v>23</v>
      </c>
      <c r="I75" s="139"/>
      <c r="J75" s="190"/>
    </row>
    <row r="76" spans="2:10" ht="38" customHeight="1" x14ac:dyDescent="0.3">
      <c r="E76" s="448" t="s">
        <v>98</v>
      </c>
      <c r="F76" s="448"/>
      <c r="G76" s="207">
        <f>+SUM(SUMIF($G$21:$G$34, "Scoop*", $J$21:$J$34))/SUMPRODUCT((LEFT(G21:G34, 5)="Scoop") / (COUNTIF(G21:G34, G21:G34 &amp; "") + (G21:G34="")))</f>
        <v>0.15277777777777779</v>
      </c>
      <c r="H76" s="220">
        <f>+G76*24/($G$74*24)</f>
        <v>0.73333333333333339</v>
      </c>
      <c r="I76" s="190"/>
      <c r="J76" s="190"/>
    </row>
    <row r="77" spans="2:10" ht="38" customHeight="1" x14ac:dyDescent="0.3">
      <c r="E77" s="448" t="s">
        <v>99</v>
      </c>
      <c r="F77" s="448"/>
      <c r="G77" s="221">
        <f>+SUM(W21:W34)*D75/D74</f>
        <v>0</v>
      </c>
      <c r="H77" s="220">
        <f>+G77/G75</f>
        <v>0</v>
      </c>
      <c r="I77" s="190"/>
      <c r="J77" s="190"/>
    </row>
    <row r="78" spans="2:10" ht="38" customHeight="1" x14ac:dyDescent="0.3">
      <c r="G78" s="222" t="s">
        <v>96</v>
      </c>
      <c r="H78" s="139" t="s">
        <v>23</v>
      </c>
    </row>
    <row r="79" spans="2:10" ht="20" customHeight="1" x14ac:dyDescent="0.3">
      <c r="F79" s="208" t="s">
        <v>71</v>
      </c>
      <c r="G79" s="221">
        <f t="shared" ref="G79:G84" si="11" xml:space="preserve"> SUMIF($G$21:$G$34, +F79,$W$21:$W$34)*$D$75</f>
        <v>0</v>
      </c>
      <c r="H79" s="220">
        <f>+G79/$G$75</f>
        <v>0</v>
      </c>
    </row>
    <row r="80" spans="2:10" ht="20" customHeight="1" x14ac:dyDescent="0.3">
      <c r="F80" s="208" t="s">
        <v>72</v>
      </c>
      <c r="G80" s="221">
        <f t="shared" si="11"/>
        <v>0</v>
      </c>
      <c r="H80" s="220">
        <f t="shared" ref="H80:H85" si="12">+G80/$G$75</f>
        <v>0</v>
      </c>
    </row>
    <row r="81" spans="2:10" ht="20" customHeight="1" x14ac:dyDescent="0.3">
      <c r="F81" s="208" t="s">
        <v>73</v>
      </c>
      <c r="G81" s="221">
        <f t="shared" si="11"/>
        <v>0</v>
      </c>
      <c r="H81" s="220">
        <f t="shared" si="12"/>
        <v>0</v>
      </c>
    </row>
    <row r="82" spans="2:10" ht="20" customHeight="1" x14ac:dyDescent="0.3">
      <c r="F82" s="208" t="s">
        <v>74</v>
      </c>
      <c r="G82" s="221">
        <f t="shared" si="11"/>
        <v>0</v>
      </c>
      <c r="H82" s="220">
        <f t="shared" si="12"/>
        <v>0</v>
      </c>
    </row>
    <row r="83" spans="2:10" ht="20" customHeight="1" x14ac:dyDescent="0.3">
      <c r="F83" s="208" t="s">
        <v>75</v>
      </c>
      <c r="G83" s="221">
        <f t="shared" si="11"/>
        <v>0</v>
      </c>
      <c r="H83" s="220">
        <f t="shared" si="12"/>
        <v>0</v>
      </c>
    </row>
    <row r="84" spans="2:10" ht="20" customHeight="1" x14ac:dyDescent="0.3">
      <c r="F84" s="208" t="s">
        <v>76</v>
      </c>
      <c r="G84" s="221">
        <f t="shared" si="11"/>
        <v>0</v>
      </c>
      <c r="H84" s="220">
        <f t="shared" si="12"/>
        <v>0</v>
      </c>
    </row>
    <row r="85" spans="2:10" ht="20" customHeight="1" x14ac:dyDescent="0.3">
      <c r="F85" s="208" t="s">
        <v>146</v>
      </c>
      <c r="G85" s="223">
        <f>+SUM(G79:G84)</f>
        <v>0</v>
      </c>
      <c r="H85" s="220">
        <f t="shared" si="12"/>
        <v>0</v>
      </c>
    </row>
    <row r="86" spans="2:10" ht="13.5" thickBot="1" x14ac:dyDescent="0.35"/>
    <row r="87" spans="2:10" ht="30" customHeight="1" thickBot="1" x14ac:dyDescent="0.35">
      <c r="B87" s="191"/>
      <c r="C87" s="446" t="s">
        <v>149</v>
      </c>
      <c r="D87" s="446"/>
      <c r="E87" s="192"/>
      <c r="F87" s="192"/>
      <c r="G87" s="192"/>
      <c r="H87" s="192"/>
      <c r="I87" s="216"/>
      <c r="J87" s="193"/>
    </row>
    <row r="88" spans="2:10" ht="25.25" customHeight="1" x14ac:dyDescent="0.3">
      <c r="C88" s="208" t="s">
        <v>150</v>
      </c>
      <c r="D88" s="195">
        <f>SUMPRODUCT((LEFT(G21:G34, 8)="Roboshot") / (COUNTIF(G21:G34, G21:G34 &amp; "") + (G21:G34="")))</f>
        <v>0</v>
      </c>
      <c r="E88" s="447" t="s">
        <v>90</v>
      </c>
      <c r="F88" s="447"/>
      <c r="G88" s="218">
        <v>0.20833333333333334</v>
      </c>
    </row>
    <row r="89" spans="2:10" x14ac:dyDescent="0.3">
      <c r="C89" s="208"/>
      <c r="D89" s="195"/>
      <c r="E89" s="447" t="s">
        <v>97</v>
      </c>
      <c r="F89" s="447"/>
      <c r="G89" s="195">
        <v>12</v>
      </c>
      <c r="H89" s="219" t="s">
        <v>23</v>
      </c>
    </row>
    <row r="91" spans="2:10" x14ac:dyDescent="0.3">
      <c r="G91" s="222" t="s">
        <v>96</v>
      </c>
      <c r="H91" s="139" t="s">
        <v>23</v>
      </c>
    </row>
    <row r="92" spans="2:10" x14ac:dyDescent="0.3">
      <c r="F92" s="208" t="s">
        <v>77</v>
      </c>
      <c r="G92" s="221">
        <f xml:space="preserve"> SUMIF($G$21:$G$34, +F92,$X$21:$X$34)</f>
        <v>0</v>
      </c>
      <c r="H92" s="220">
        <f>+G92/$G$89</f>
        <v>0</v>
      </c>
    </row>
    <row r="93" spans="2:10" x14ac:dyDescent="0.3">
      <c r="F93" s="208" t="s">
        <v>78</v>
      </c>
      <c r="G93" s="221">
        <f xml:space="preserve"> SUMIF($G$21:$G$34, +F93,$X$21:$X$34)</f>
        <v>0</v>
      </c>
      <c r="H93" s="220">
        <f t="shared" ref="H93:H94" si="13">+G93/$G$89</f>
        <v>0</v>
      </c>
    </row>
    <row r="94" spans="2:10" x14ac:dyDescent="0.3">
      <c r="F94" s="208" t="s">
        <v>79</v>
      </c>
      <c r="G94" s="221">
        <f xml:space="preserve"> SUMIF($G$21:$G$34, +F94,$X$21:$X$34)</f>
        <v>0</v>
      </c>
      <c r="H94" s="220">
        <f t="shared" si="13"/>
        <v>0</v>
      </c>
    </row>
    <row r="95" spans="2:10" x14ac:dyDescent="0.3">
      <c r="F95" s="208" t="s">
        <v>146</v>
      </c>
      <c r="G95" s="223">
        <f>+SUM(G92:G94)</f>
        <v>0</v>
      </c>
      <c r="H95" s="220">
        <f>+G95/$G$89</f>
        <v>0</v>
      </c>
    </row>
  </sheetData>
  <mergeCells count="41">
    <mergeCell ref="E89:F89"/>
    <mergeCell ref="C73:D73"/>
    <mergeCell ref="E74:F74"/>
    <mergeCell ref="E75:F75"/>
    <mergeCell ref="E76:F76"/>
    <mergeCell ref="E77:F77"/>
    <mergeCell ref="C87:D87"/>
    <mergeCell ref="C59:D59"/>
    <mergeCell ref="E60:F60"/>
    <mergeCell ref="E61:F61"/>
    <mergeCell ref="E62:F62"/>
    <mergeCell ref="E88:F88"/>
    <mergeCell ref="E63:F63"/>
    <mergeCell ref="E48:G48"/>
    <mergeCell ref="E49:G49"/>
    <mergeCell ref="E50:G50"/>
    <mergeCell ref="E51:G51"/>
    <mergeCell ref="E53:G53"/>
    <mergeCell ref="E54:G54"/>
    <mergeCell ref="E55:G55"/>
    <mergeCell ref="E47:G47"/>
    <mergeCell ref="K9:L9"/>
    <mergeCell ref="K10:L10"/>
    <mergeCell ref="K11:L11"/>
    <mergeCell ref="K12:L12"/>
    <mergeCell ref="B14:S14"/>
    <mergeCell ref="C39:D39"/>
    <mergeCell ref="G39:H39"/>
    <mergeCell ref="I39:J39"/>
    <mergeCell ref="K39:L39"/>
    <mergeCell ref="E40:F40"/>
    <mergeCell ref="E41:F41"/>
    <mergeCell ref="E42:F42"/>
    <mergeCell ref="E45:G45"/>
    <mergeCell ref="E46:G46"/>
    <mergeCell ref="K8:L8"/>
    <mergeCell ref="B1:D4"/>
    <mergeCell ref="E2:R2"/>
    <mergeCell ref="E3:R4"/>
    <mergeCell ref="K6:L6"/>
    <mergeCell ref="K7:L7"/>
  </mergeCells>
  <conditionalFormatting sqref="H41:H42 J41:J42">
    <cfRule type="cellIs" dxfId="398" priority="13" operator="greaterThan">
      <formula>0.9</formula>
    </cfRule>
    <cfRule type="cellIs" dxfId="397" priority="14" operator="between">
      <formula>0.81</formula>
      <formula>0.89</formula>
    </cfRule>
    <cfRule type="cellIs" dxfId="396" priority="15" operator="lessThan">
      <formula>0.8</formula>
    </cfRule>
  </conditionalFormatting>
  <conditionalFormatting sqref="H62:H63">
    <cfRule type="cellIs" dxfId="395" priority="16" operator="greaterThan">
      <formula>0.9</formula>
    </cfRule>
    <cfRule type="cellIs" dxfId="394" priority="17" operator="between">
      <formula>0.81</formula>
      <formula>0.89</formula>
    </cfRule>
    <cfRule type="cellIs" dxfId="393" priority="18" operator="lessThan">
      <formula>0.8</formula>
    </cfRule>
  </conditionalFormatting>
  <conditionalFormatting sqref="H65:H71">
    <cfRule type="cellIs" dxfId="392" priority="19" operator="greaterThan">
      <formula>0.9</formula>
    </cfRule>
    <cfRule type="cellIs" dxfId="391" priority="20" operator="between">
      <formula>0.81</formula>
      <formula>0.89</formula>
    </cfRule>
    <cfRule type="cellIs" dxfId="390" priority="21" operator="lessThan">
      <formula>0.8</formula>
    </cfRule>
  </conditionalFormatting>
  <conditionalFormatting sqref="H76:H77">
    <cfRule type="cellIs" dxfId="389" priority="7" operator="greaterThan">
      <formula>0.9</formula>
    </cfRule>
    <cfRule type="cellIs" dxfId="388" priority="8" operator="between">
      <formula>0.81</formula>
      <formula>0.89</formula>
    </cfRule>
    <cfRule type="cellIs" dxfId="387" priority="9" operator="lessThan">
      <formula>0.8</formula>
    </cfRule>
  </conditionalFormatting>
  <conditionalFormatting sqref="H79:H85">
    <cfRule type="cellIs" dxfId="386" priority="10" operator="greaterThan">
      <formula>0.9</formula>
    </cfRule>
    <cfRule type="cellIs" dxfId="385" priority="11" operator="between">
      <formula>0.81</formula>
      <formula>0.89</formula>
    </cfRule>
    <cfRule type="cellIs" dxfId="384" priority="12" operator="lessThan">
      <formula>0.8</formula>
    </cfRule>
  </conditionalFormatting>
  <conditionalFormatting sqref="H92:H95">
    <cfRule type="cellIs" dxfId="383" priority="4" operator="greaterThan">
      <formula>0.9</formula>
    </cfRule>
    <cfRule type="cellIs" dxfId="382" priority="5" operator="between">
      <formula>0.81</formula>
      <formula>0.89</formula>
    </cfRule>
    <cfRule type="cellIs" dxfId="381" priority="6" operator="lessThan">
      <formula>0.8</formula>
    </cfRule>
  </conditionalFormatting>
  <conditionalFormatting sqref="L41:L42">
    <cfRule type="cellIs" dxfId="380" priority="1" operator="greaterThan">
      <formula>0.9</formula>
    </cfRule>
    <cfRule type="cellIs" dxfId="379" priority="2" operator="between">
      <formula>0.81</formula>
      <formula>0.89</formula>
    </cfRule>
    <cfRule type="cellIs" dxfId="378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E5C0C9B-A9E0-46B3-B3B3-D30460115D51}">
          <x14:formula1>
            <xm:f>Datos!$F$3:$F$41</xm:f>
          </x14:formula1>
          <xm:sqref>G29:G37 G21:G26</xm:sqref>
        </x14:dataValidation>
        <x14:dataValidation type="list" allowBlank="1" showInputMessage="1" showErrorMessage="1" xr:uid="{EF977D6F-5C08-4EB6-8FA9-B8F5A97CEDD8}">
          <x14:formula1>
            <xm:f>Datos!$W$3:$W$12</xm:f>
          </x14:formula1>
          <xm:sqref>L29:L37 L21:L26</xm:sqref>
        </x14:dataValidation>
        <x14:dataValidation type="list" allowBlank="1" showInputMessage="1" showErrorMessage="1" xr:uid="{E935004A-1110-4624-A5C3-A2134DA7A7E8}">
          <x14:formula1>
            <xm:f>Datos!$D$3:$D$27</xm:f>
          </x14:formula1>
          <xm:sqref>F29:F37 F21:F26</xm:sqref>
        </x14:dataValidation>
        <x14:dataValidation type="list" allowBlank="1" showInputMessage="1" showErrorMessage="1" xr:uid="{98CE289E-810B-45FE-B6E2-F4A85F124029}">
          <x14:formula1>
            <xm:f>Datos!$B$3:$B$8</xm:f>
          </x14:formula1>
          <xm:sqref>E29:E37 E21:E26</xm:sqref>
        </x14:dataValidation>
        <x14:dataValidation type="list" allowBlank="1" showInputMessage="1" showErrorMessage="1" xr:uid="{2557C978-87D1-40B7-A9B3-9887ABF20FC0}">
          <x14:formula1>
            <xm:f>Datos!$H$3:$H$34</xm:f>
          </x14:formula1>
          <xm:sqref>D29:D36 D21:D25</xm:sqref>
        </x14:dataValidation>
        <x14:dataValidation type="list" allowBlank="1" showInputMessage="1" showErrorMessage="1" xr:uid="{71A0C7F6-6DA5-499B-A421-5D1B52A24FA2}">
          <x14:formula1>
            <xm:f>Datos!$H$3:$H$26</xm:f>
          </x14:formula1>
          <xm:sqref>D26 D37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F5AF-1978-4196-8E76-1A183024F512}">
  <sheetPr>
    <pageSetUpPr fitToPage="1"/>
  </sheetPr>
  <dimension ref="B1:X95"/>
  <sheetViews>
    <sheetView showGridLines="0" topLeftCell="A19" zoomScaleNormal="10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H22" sqref="H22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1796875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+G41</f>
        <v>0.83333333333333337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+H42</f>
        <v>0.95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172</v>
      </c>
      <c r="E21" s="172" t="s">
        <v>6</v>
      </c>
      <c r="F21" s="172" t="s">
        <v>163</v>
      </c>
      <c r="G21" s="172" t="s">
        <v>210</v>
      </c>
      <c r="H21" s="174">
        <v>0.34375</v>
      </c>
      <c r="I21" s="174">
        <v>0.35416666666666669</v>
      </c>
      <c r="J21" s="175">
        <f>I21-H21</f>
        <v>1.0416666666666685E-2</v>
      </c>
      <c r="K21" s="178"/>
      <c r="L21" s="177"/>
      <c r="M21" s="178"/>
      <c r="N21" s="179">
        <v>1</v>
      </c>
      <c r="O21" s="186" t="s">
        <v>456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105</v>
      </c>
      <c r="E22" s="172" t="s">
        <v>6</v>
      </c>
      <c r="F22" s="172" t="s">
        <v>163</v>
      </c>
      <c r="G22" s="172" t="s">
        <v>204</v>
      </c>
      <c r="H22" s="174">
        <v>0.36458333333333331</v>
      </c>
      <c r="I22" s="174">
        <v>0.6875</v>
      </c>
      <c r="J22" s="175">
        <f>I22-H22</f>
        <v>0.32291666666666669</v>
      </c>
      <c r="K22" s="178">
        <v>55</v>
      </c>
      <c r="L22" s="177" t="s">
        <v>128</v>
      </c>
      <c r="M22" s="178"/>
      <c r="N22" s="179">
        <v>0.9</v>
      </c>
      <c r="O22" s="225"/>
      <c r="P22" s="181"/>
      <c r="Q22" s="174"/>
      <c r="R22" s="172"/>
      <c r="S22" s="175">
        <f t="shared" ref="S22:S26" si="0">+MOD(R22-Q22,1)</f>
        <v>0</v>
      </c>
      <c r="U22" s="182">
        <f>+IFERROR(VLOOKUP(D22,Datos!$R$3:$T$19,3,FALSE), "0")*N22</f>
        <v>0</v>
      </c>
      <c r="V22" s="183" t="str">
        <f t="shared" ref="V22:V26" si="1">IF(OR(D22="Perforación de Fortificación", D22="Perforación de Avance", D22="Perforación Desquinche"), K22*M22, "")</f>
        <v/>
      </c>
      <c r="W22" s="183" t="str">
        <f t="shared" ref="W22:W26" si="2">IF(D22="Extracción de Marina Disparo",K22,"")</f>
        <v/>
      </c>
      <c r="X22" s="183" t="str">
        <f t="shared" ref="X22:X26" si="3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/>
      <c r="E23" s="172"/>
      <c r="F23" s="172"/>
      <c r="G23" s="172"/>
      <c r="H23" s="174"/>
      <c r="I23" s="174"/>
      <c r="J23" s="175">
        <f>I23-H23</f>
        <v>0</v>
      </c>
      <c r="K23" s="178"/>
      <c r="L23" s="177"/>
      <c r="M23" s="178"/>
      <c r="N23" s="179"/>
      <c r="O23" s="186"/>
      <c r="P23" s="181"/>
      <c r="Q23" s="174"/>
      <c r="R23" s="172"/>
      <c r="S23" s="175">
        <f t="shared" si="0"/>
        <v>0</v>
      </c>
      <c r="U23" s="182">
        <f>+IFERROR(VLOOKUP(D23,Datos!$R$3:$T$19,3,FALSE), "0")*N23</f>
        <v>0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/>
      <c r="C24" s="173"/>
      <c r="D24" s="173"/>
      <c r="E24" s="172"/>
      <c r="F24" s="172"/>
      <c r="G24" s="172"/>
      <c r="H24" s="174"/>
      <c r="I24" s="174"/>
      <c r="J24" s="175"/>
      <c r="K24" s="178"/>
      <c r="L24" s="177"/>
      <c r="M24" s="178"/>
      <c r="N24" s="179"/>
      <c r="O24" s="186"/>
      <c r="P24" s="181"/>
      <c r="Q24" s="174"/>
      <c r="R24" s="174"/>
      <c r="S24" s="175"/>
      <c r="U24" s="182"/>
      <c r="V24" s="183"/>
      <c r="W24" s="183"/>
      <c r="X24" s="183"/>
    </row>
    <row r="25" spans="2:24" ht="37.75" customHeight="1" x14ac:dyDescent="0.3">
      <c r="B25" s="172"/>
      <c r="C25" s="173"/>
      <c r="D25" s="173" t="s">
        <v>110</v>
      </c>
      <c r="E25" s="172"/>
      <c r="F25" s="172"/>
      <c r="G25" s="172"/>
      <c r="H25" s="174">
        <v>0.33333333333333331</v>
      </c>
      <c r="I25" s="174">
        <v>0.83333333333333337</v>
      </c>
      <c r="J25" s="175">
        <f>I25-H25</f>
        <v>0.5</v>
      </c>
      <c r="K25" s="178"/>
      <c r="L25" s="177"/>
      <c r="M25" s="178"/>
      <c r="N25" s="179"/>
      <c r="O25" s="186" t="s">
        <v>436</v>
      </c>
      <c r="P25" s="181"/>
      <c r="Q25" s="174"/>
      <c r="R25" s="174"/>
      <c r="S25" s="175"/>
      <c r="U25" s="182"/>
      <c r="V25" s="183" t="str">
        <f t="shared" si="1"/>
        <v/>
      </c>
      <c r="W25" s="183" t="str">
        <f t="shared" si="2"/>
        <v/>
      </c>
      <c r="X25" s="183" t="str">
        <f t="shared" si="3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 t="s">
        <v>329</v>
      </c>
      <c r="J26" s="175">
        <f>MOD(I22-H21, 1)</f>
        <v>0.34375</v>
      </c>
      <c r="K26" s="178"/>
      <c r="L26" s="177"/>
      <c r="M26" s="178"/>
      <c r="N26" s="179"/>
      <c r="O26" s="186"/>
      <c r="P26" s="172"/>
      <c r="Q26" s="172"/>
      <c r="R26" s="172"/>
      <c r="S26" s="175">
        <f t="shared" si="0"/>
        <v>0</v>
      </c>
      <c r="U26" s="182">
        <f>SUM(U21:U25)</f>
        <v>0</v>
      </c>
      <c r="V26" s="183" t="str">
        <f t="shared" si="1"/>
        <v/>
      </c>
      <c r="W26" s="183" t="str">
        <f t="shared" si="2"/>
        <v/>
      </c>
      <c r="X26" s="183" t="str">
        <f t="shared" si="3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 t="s">
        <v>110</v>
      </c>
      <c r="E29" s="172" t="s">
        <v>6</v>
      </c>
      <c r="F29" s="172" t="s">
        <v>164</v>
      </c>
      <c r="G29" s="172"/>
      <c r="H29" s="174">
        <v>0.33333333333333331</v>
      </c>
      <c r="I29" s="174">
        <v>0.83333333333333337</v>
      </c>
      <c r="J29" s="175">
        <f>I29-H29</f>
        <v>0.5</v>
      </c>
      <c r="K29" s="178"/>
      <c r="L29" s="177"/>
      <c r="M29" s="178"/>
      <c r="N29" s="179">
        <v>1</v>
      </c>
      <c r="O29" s="186" t="s">
        <v>428</v>
      </c>
      <c r="P29" s="225"/>
      <c r="Q29" s="174"/>
      <c r="R29" s="174"/>
      <c r="S29" s="175"/>
      <c r="U29" s="187">
        <f>+IFERROR(VLOOKUP(D29,Datos!$R$24:$T$40,3,FALSE), "0")*N29</f>
        <v>0</v>
      </c>
      <c r="V29" s="183" t="str">
        <f t="shared" ref="V29:V37" si="4">IF(OR(D29="Perforación de Fortificación", D29="Perforación de Avance", D29="Perforación Desquinche"), K29*M29, "")</f>
        <v/>
      </c>
      <c r="W29" s="183" t="str">
        <f>IF(D29="Extracción de Marina Disparo",K29,"")</f>
        <v/>
      </c>
      <c r="X29" s="183" t="str">
        <f t="shared" ref="X29:X37" si="5">IF(OR(D29="Shotcrete", D29="Pre Shotcrete"), K29, "")</f>
        <v/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73"/>
      <c r="Q30" s="174"/>
      <c r="R30" s="174"/>
      <c r="S30" s="175"/>
      <c r="U30" s="187">
        <f>+IFERROR(VLOOKUP(D30,Datos!$R$24:$T$40,3,FALSE), "0")*N30</f>
        <v>0</v>
      </c>
      <c r="V30" s="183" t="str">
        <f t="shared" si="4"/>
        <v/>
      </c>
      <c r="W30" s="183" t="str">
        <f>IF(D30="Extracción de Marina Disparo",K30,"")</f>
        <v/>
      </c>
      <c r="X30" s="183" t="str">
        <f t="shared" si="5"/>
        <v/>
      </c>
    </row>
    <row r="31" spans="2:24" ht="53.4" customHeight="1" x14ac:dyDescent="0.3">
      <c r="B31" s="172">
        <v>3700</v>
      </c>
      <c r="C31" s="173" t="str">
        <f>+C29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81"/>
      <c r="Q31" s="174"/>
      <c r="R31" s="174"/>
      <c r="S31" s="175"/>
      <c r="U31" s="187">
        <f>+IFERROR(VLOOKUP(D31,Datos!$R$24:$T$40,3,FALSE), "0")*N31</f>
        <v>0</v>
      </c>
      <c r="V31" s="183" t="str">
        <f t="shared" si="4"/>
        <v/>
      </c>
      <c r="W31" s="183" t="str">
        <f t="shared" ref="W31:W37" si="6">IF(D31="Extracción de Marina Disparo",K31,"")</f>
        <v/>
      </c>
      <c r="X31" s="183" t="str">
        <f t="shared" si="5"/>
        <v/>
      </c>
    </row>
    <row r="32" spans="2:24" ht="38" customHeight="1" x14ac:dyDescent="0.3">
      <c r="B32" s="172">
        <v>3700</v>
      </c>
      <c r="C32" s="173" t="s">
        <v>397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72"/>
      <c r="Q32" s="172"/>
      <c r="R32" s="172"/>
      <c r="S32" s="175"/>
      <c r="U32" s="187">
        <f>+IFERROR(VLOOKUP(D32,Datos!$R$24:$T$40,3,FALSE), "0")*N32</f>
        <v>0</v>
      </c>
      <c r="V32" s="183" t="str">
        <f t="shared" si="4"/>
        <v/>
      </c>
      <c r="W32" s="183" t="str">
        <f t="shared" si="6"/>
        <v/>
      </c>
      <c r="X32" s="183"/>
    </row>
    <row r="33" spans="2:24" ht="38" customHeight="1" x14ac:dyDescent="0.3">
      <c r="B33" s="172">
        <v>3700</v>
      </c>
      <c r="C33" s="173" t="str">
        <f>+C32</f>
        <v>Fróntón Bodega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81"/>
      <c r="Q33" s="174"/>
      <c r="R33" s="174"/>
      <c r="S33" s="175"/>
      <c r="U33" s="187">
        <f>+IFERROR(VLOOKUP(D33,Datos!$R$24:$T$40,3,FALSE), "0")*N33</f>
        <v>0</v>
      </c>
      <c r="V33" s="183" t="str">
        <f t="shared" si="4"/>
        <v/>
      </c>
      <c r="W33" s="183" t="str">
        <f t="shared" si="6"/>
        <v/>
      </c>
      <c r="X33" s="183" t="str">
        <f t="shared" si="5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225"/>
      <c r="P34" s="172"/>
      <c r="Q34" s="172"/>
      <c r="R34" s="172"/>
      <c r="S34" s="175">
        <f t="shared" ref="S34:S37" si="7">+MOD(R34-Q34,1)</f>
        <v>0</v>
      </c>
      <c r="U34" s="187">
        <f>+IFERROR(VLOOKUP(D34,Datos!$R$24:$T$40,3,FALSE), "0")*N34</f>
        <v>0</v>
      </c>
      <c r="V34" s="183" t="str">
        <f t="shared" si="4"/>
        <v/>
      </c>
      <c r="W34" s="183" t="str">
        <f t="shared" si="6"/>
        <v/>
      </c>
      <c r="X34" s="183" t="str">
        <f t="shared" si="5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7"/>
        <v>0</v>
      </c>
      <c r="U35" s="187"/>
      <c r="V35" s="183" t="str">
        <f t="shared" si="4"/>
        <v/>
      </c>
      <c r="W35" s="183" t="str">
        <f t="shared" si="6"/>
        <v/>
      </c>
      <c r="X35" s="183" t="str">
        <f t="shared" si="5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7"/>
        <v>0</v>
      </c>
      <c r="U36" s="187"/>
      <c r="V36" s="183" t="str">
        <f t="shared" si="4"/>
        <v/>
      </c>
      <c r="W36" s="183" t="str">
        <f t="shared" si="6"/>
        <v/>
      </c>
      <c r="X36" s="183" t="str">
        <f t="shared" si="5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 t="s">
        <v>329</v>
      </c>
      <c r="J37" s="175"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7"/>
        <v>0</v>
      </c>
      <c r="U37" s="182">
        <f>SUM(U29:U36)</f>
        <v>0</v>
      </c>
      <c r="V37" s="183" t="str">
        <f t="shared" si="4"/>
        <v/>
      </c>
      <c r="W37" s="183" t="str">
        <f t="shared" si="6"/>
        <v/>
      </c>
      <c r="X37" s="183" t="str">
        <f t="shared" si="5"/>
        <v/>
      </c>
    </row>
    <row r="38" spans="2:24" ht="15.65" customHeight="1" thickBot="1" x14ac:dyDescent="0.35">
      <c r="B38" s="190"/>
      <c r="C38" s="190"/>
      <c r="D38" s="190"/>
      <c r="E38" s="190"/>
      <c r="F38" s="190"/>
      <c r="G38" s="190"/>
      <c r="H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</row>
    <row r="39" spans="2:24" ht="30" customHeight="1" thickBot="1" x14ac:dyDescent="0.35">
      <c r="B39" s="191"/>
      <c r="C39" s="446" t="s">
        <v>64</v>
      </c>
      <c r="D39" s="446"/>
      <c r="E39" s="192"/>
      <c r="F39" s="192"/>
      <c r="G39" s="431">
        <v>3500</v>
      </c>
      <c r="H39" s="432"/>
      <c r="I39" s="431">
        <v>3700</v>
      </c>
      <c r="J39" s="432"/>
      <c r="K39" s="433" t="s">
        <v>146</v>
      </c>
      <c r="L39" s="434"/>
      <c r="M39" s="190"/>
      <c r="N39" s="190"/>
      <c r="O39" s="190"/>
      <c r="P39" s="190"/>
      <c r="Q39" s="190"/>
      <c r="R39" s="190"/>
      <c r="S39" s="190"/>
    </row>
    <row r="40" spans="2:24" ht="30" customHeight="1" x14ac:dyDescent="0.3">
      <c r="C40" s="194" t="s">
        <v>48</v>
      </c>
      <c r="D40" s="195">
        <f>SUMPRODUCT((LEFT(F21:F34, 1)="C") / (COUNTIF(F21:F34, F21:F34 &amp; "") + (F21:F34="")))</f>
        <v>0</v>
      </c>
      <c r="E40" s="447" t="s">
        <v>90</v>
      </c>
      <c r="F40" s="447"/>
      <c r="G40" s="196">
        <v>0.26041666666666669</v>
      </c>
      <c r="H40" s="197" t="s">
        <v>23</v>
      </c>
      <c r="I40" s="196">
        <v>0.26041666666666669</v>
      </c>
      <c r="J40" s="197" t="s">
        <v>23</v>
      </c>
      <c r="K40" s="198">
        <f>+G40</f>
        <v>0.26041666666666669</v>
      </c>
      <c r="L40" s="197" t="s">
        <v>23</v>
      </c>
      <c r="M40" s="190"/>
      <c r="N40" s="190"/>
      <c r="O40" s="190"/>
      <c r="P40" s="190"/>
      <c r="Q40" s="190"/>
      <c r="R40" s="190"/>
      <c r="S40" s="190"/>
    </row>
    <row r="41" spans="2:24" x14ac:dyDescent="0.3">
      <c r="C41" s="194" t="s">
        <v>49</v>
      </c>
      <c r="D41" s="195">
        <f>SUMPRODUCT((LEFT(F21:F34, 1)="O") / (COUNTIF(F21:F34, F21:F34 &amp; "") + (F21:F34="")))</f>
        <v>0</v>
      </c>
      <c r="E41" s="448" t="s">
        <v>198</v>
      </c>
      <c r="F41" s="448"/>
      <c r="G41" s="199">
        <f>SUM(J21:J25)</f>
        <v>0.83333333333333337</v>
      </c>
      <c r="H41" s="200">
        <f>+G41*24/($G$40*24)</f>
        <v>3.2</v>
      </c>
      <c r="I41" s="199">
        <f>SUM(J29:J34)</f>
        <v>0.5</v>
      </c>
      <c r="J41" s="200">
        <f>+I41*24/($I$40*24)</f>
        <v>1.92</v>
      </c>
      <c r="K41" s="201">
        <f>AVERAGE(G41+I41)/2</f>
        <v>0.66666666666666674</v>
      </c>
      <c r="L41" s="200">
        <f>+K41*24/($K$40*24)</f>
        <v>2.56</v>
      </c>
      <c r="M41" s="190"/>
      <c r="N41" s="190"/>
      <c r="O41" s="190"/>
      <c r="P41" s="190"/>
      <c r="Q41" s="190"/>
      <c r="R41" s="190"/>
      <c r="S41" s="190"/>
    </row>
    <row r="42" spans="2:24" ht="43.25" customHeight="1" thickBot="1" x14ac:dyDescent="0.35">
      <c r="E42" s="448" t="s">
        <v>94</v>
      </c>
      <c r="F42" s="448"/>
      <c r="G42" s="202"/>
      <c r="H42" s="203">
        <f>+AVERAGE(N21:N26)</f>
        <v>0.95</v>
      </c>
      <c r="I42" s="202"/>
      <c r="J42" s="203">
        <f>+AVERAGE(N29:N34)</f>
        <v>1</v>
      </c>
      <c r="K42" s="204"/>
      <c r="L42" s="203">
        <f>+AVERAGE(N21:N34)</f>
        <v>0.96666666666666667</v>
      </c>
    </row>
    <row r="43" spans="2:24" ht="43.25" customHeight="1" x14ac:dyDescent="0.3">
      <c r="E43" s="205"/>
      <c r="F43" s="205"/>
      <c r="G43" s="206"/>
      <c r="H43" s="206"/>
      <c r="I43" s="137"/>
      <c r="J43" s="137"/>
      <c r="K43" s="137"/>
      <c r="L43" s="137"/>
    </row>
    <row r="44" spans="2:24" ht="43.25" customHeight="1" x14ac:dyDescent="0.3">
      <c r="E44" s="194"/>
      <c r="F44" s="194"/>
      <c r="G44" s="207"/>
      <c r="H44" s="208" t="s">
        <v>24</v>
      </c>
      <c r="I44" s="208" t="s">
        <v>199</v>
      </c>
      <c r="J44" s="208" t="s">
        <v>201</v>
      </c>
      <c r="K44" s="208" t="s">
        <v>404</v>
      </c>
      <c r="L44" s="345" t="s">
        <v>484</v>
      </c>
      <c r="M44" s="345" t="s">
        <v>485</v>
      </c>
      <c r="N44" s="208"/>
    </row>
    <row r="45" spans="2:24" ht="14.5" x14ac:dyDescent="0.35">
      <c r="E45" s="445" t="s">
        <v>174</v>
      </c>
      <c r="F45" s="445"/>
      <c r="G45" s="445"/>
      <c r="H45" s="209">
        <f>+U37</f>
        <v>0</v>
      </c>
      <c r="I45" s="298">
        <f>+H45*$J$45*$K$45</f>
        <v>0</v>
      </c>
      <c r="J45" s="298">
        <v>6.6</v>
      </c>
      <c r="K45" s="246">
        <v>3.42</v>
      </c>
      <c r="L45" s="344">
        <v>56.080975609756102</v>
      </c>
      <c r="M45" s="344">
        <f>+L45*K45*H45</f>
        <v>0</v>
      </c>
    </row>
    <row r="46" spans="2:24" ht="14.4" customHeight="1" x14ac:dyDescent="0.35">
      <c r="E46" s="445" t="s">
        <v>224</v>
      </c>
      <c r="F46" s="445"/>
      <c r="G46" s="445"/>
      <c r="H46" s="209"/>
      <c r="I46" s="298">
        <f>+J46*K46</f>
        <v>0</v>
      </c>
      <c r="J46" s="298">
        <f>1892/1000000</f>
        <v>1.892E-3</v>
      </c>
      <c r="K46" s="246">
        <f>+((15*4.4)*2.72)*0</f>
        <v>0</v>
      </c>
      <c r="L46" s="346">
        <v>1.6919982016368774E-2</v>
      </c>
      <c r="M46" s="344">
        <f>+L46*K46</f>
        <v>0</v>
      </c>
    </row>
    <row r="47" spans="2:24" ht="14.4" customHeight="1" x14ac:dyDescent="0.35">
      <c r="E47" s="445" t="s">
        <v>359</v>
      </c>
      <c r="F47" s="445"/>
      <c r="G47" s="445"/>
      <c r="H47" s="209"/>
      <c r="I47" s="298">
        <f>+J47*K47</f>
        <v>0</v>
      </c>
      <c r="J47" s="298">
        <v>0.340368</v>
      </c>
      <c r="K47" s="246">
        <v>0</v>
      </c>
      <c r="L47" s="346">
        <v>2.2358937544867188</v>
      </c>
      <c r="M47" s="344">
        <f>+L47*K47</f>
        <v>0</v>
      </c>
    </row>
    <row r="48" spans="2:24" ht="14.4" customHeight="1" x14ac:dyDescent="0.35">
      <c r="E48" s="445" t="s">
        <v>376</v>
      </c>
      <c r="F48" s="445"/>
      <c r="G48" s="445"/>
      <c r="H48" s="209">
        <v>0</v>
      </c>
      <c r="I48" s="298">
        <f>+H48*$J$48*$K$48</f>
        <v>0</v>
      </c>
      <c r="J48" s="298">
        <f>23683234/1000000</f>
        <v>23.683233999999999</v>
      </c>
      <c r="K48" s="226">
        <v>0</v>
      </c>
      <c r="L48" s="346">
        <v>254.98967741935485</v>
      </c>
      <c r="M48" s="344">
        <f>+L48*K48*H48</f>
        <v>0</v>
      </c>
    </row>
    <row r="49" spans="2:13" ht="14.4" customHeight="1" x14ac:dyDescent="0.35">
      <c r="E49" s="445" t="s">
        <v>236</v>
      </c>
      <c r="F49" s="445"/>
      <c r="G49" s="445"/>
      <c r="H49" s="209"/>
      <c r="I49" s="298">
        <f>+J49*K49</f>
        <v>0</v>
      </c>
      <c r="J49" s="298">
        <f>25508/1000000</f>
        <v>2.5507999999999999E-2</v>
      </c>
      <c r="K49" s="246">
        <f>7/(0.05)*0</f>
        <v>0</v>
      </c>
      <c r="L49" s="347" t="s">
        <v>486</v>
      </c>
      <c r="M49" s="349"/>
    </row>
    <row r="50" spans="2:13" ht="14.4" customHeight="1" x14ac:dyDescent="0.35">
      <c r="E50" s="445" t="s">
        <v>451</v>
      </c>
      <c r="F50" s="445"/>
      <c r="G50" s="445"/>
      <c r="H50" s="209">
        <v>1</v>
      </c>
      <c r="I50" s="298">
        <f>H50*J50</f>
        <v>7.9892054999999997</v>
      </c>
      <c r="J50" s="298">
        <f>15978411/2000000</f>
        <v>7.9892054999999997</v>
      </c>
      <c r="K50" s="246"/>
      <c r="L50" s="347" t="s">
        <v>486</v>
      </c>
      <c r="M50" s="344"/>
    </row>
    <row r="51" spans="2:13" ht="14.4" customHeight="1" x14ac:dyDescent="0.35">
      <c r="E51" s="445" t="s">
        <v>298</v>
      </c>
      <c r="F51" s="445"/>
      <c r="G51" s="445"/>
      <c r="H51" s="209"/>
      <c r="I51" s="210">
        <f>SUM(I45:I50)</f>
        <v>7.9892054999999997</v>
      </c>
      <c r="J51" s="214"/>
      <c r="K51" s="246"/>
      <c r="L51" s="344"/>
      <c r="M51" s="344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/>
    </row>
    <row r="53" spans="2:13" ht="14.4" customHeight="1" x14ac:dyDescent="0.35">
      <c r="E53" s="445" t="s">
        <v>175</v>
      </c>
      <c r="F53" s="445"/>
      <c r="G53" s="445"/>
      <c r="H53" s="209">
        <f>+U26</f>
        <v>0</v>
      </c>
      <c r="I53" s="210">
        <f>+H53*$J$53*$K$53</f>
        <v>0</v>
      </c>
      <c r="J53" s="211">
        <v>11.8</v>
      </c>
      <c r="K53" s="246">
        <v>4</v>
      </c>
      <c r="L53" s="344">
        <v>118.52055555555555</v>
      </c>
      <c r="M53" s="344">
        <f>+L53*K53*H53</f>
        <v>0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0</v>
      </c>
      <c r="J54" s="296">
        <f>+J46*0</f>
        <v>0</v>
      </c>
      <c r="K54" s="215">
        <f>+((15*2.8)*2.72)*K25</f>
        <v>0</v>
      </c>
      <c r="L54" s="346">
        <v>1.6919982016368774E-2</v>
      </c>
      <c r="M54" s="344">
        <f>+L54*K54</f>
        <v>0</v>
      </c>
    </row>
    <row r="55" spans="2:13" ht="14.4" customHeight="1" x14ac:dyDescent="0.35">
      <c r="E55" s="445" t="s">
        <v>297</v>
      </c>
      <c r="F55" s="445"/>
      <c r="G55" s="445"/>
      <c r="H55" s="209"/>
      <c r="I55" s="210">
        <f>SUM(I53:I54)</f>
        <v>0</v>
      </c>
      <c r="J55" s="214"/>
      <c r="K55" s="246"/>
      <c r="L55" s="347"/>
      <c r="M55" s="349"/>
    </row>
    <row r="56" spans="2:13" ht="14.4" customHeight="1" x14ac:dyDescent="0.3">
      <c r="E56" s="227"/>
      <c r="F56" s="227"/>
      <c r="G56" s="227"/>
      <c r="H56" s="209"/>
      <c r="I56" s="210"/>
      <c r="J56" s="214"/>
      <c r="K56" s="246"/>
      <c r="L56" s="213"/>
      <c r="M56" s="352">
        <f>SUM(M45:M55)</f>
        <v>0</v>
      </c>
    </row>
    <row r="57" spans="2:13" ht="14.4" customHeight="1" x14ac:dyDescent="0.3">
      <c r="L57" s="213"/>
    </row>
    <row r="58" spans="2:13" ht="7.75" customHeight="1" thickBot="1" x14ac:dyDescent="0.35"/>
    <row r="59" spans="2:13" ht="30" customHeight="1" thickBot="1" x14ac:dyDescent="0.35">
      <c r="B59" s="191"/>
      <c r="C59" s="446" t="s">
        <v>88</v>
      </c>
      <c r="D59" s="446"/>
      <c r="E59" s="192"/>
      <c r="F59" s="192"/>
      <c r="G59" s="192"/>
      <c r="H59" s="192"/>
      <c r="I59" s="216"/>
      <c r="J59" s="193"/>
    </row>
    <row r="60" spans="2:13" ht="38" customHeight="1" x14ac:dyDescent="0.3">
      <c r="C60" s="217" t="s">
        <v>89</v>
      </c>
      <c r="D60" s="195">
        <f>SUMPRODUCT((LEFT(G21:G34, 5)="Jumbo") / (COUNTIF(G21:G34, G21:G34 &amp; "") + (G21:G34="")))</f>
        <v>0</v>
      </c>
      <c r="E60" s="447" t="s">
        <v>90</v>
      </c>
      <c r="F60" s="447"/>
      <c r="G60" s="218">
        <v>0.20833333333333334</v>
      </c>
      <c r="I60" s="139"/>
      <c r="J60" s="190"/>
    </row>
    <row r="61" spans="2:13" ht="38" customHeight="1" x14ac:dyDescent="0.3">
      <c r="E61" s="447" t="s">
        <v>93</v>
      </c>
      <c r="F61" s="447"/>
      <c r="G61" s="195">
        <f>15000/(60)</f>
        <v>250</v>
      </c>
      <c r="H61" s="219" t="s">
        <v>143</v>
      </c>
      <c r="I61" s="139"/>
      <c r="J61" s="190"/>
    </row>
    <row r="62" spans="2:13" ht="38" customHeight="1" x14ac:dyDescent="0.3">
      <c r="E62" s="448" t="s">
        <v>91</v>
      </c>
      <c r="F62" s="448"/>
      <c r="G62" s="207" t="e">
        <f>+SUM(SUMIF($G$21:$G$34, "Jumbo*", $J$21:$J$34))/SUMPRODUCT((LEFT(G21:G34, 5)="Jumbo") / (COUNTIF(G21:G34, G21:G34 &amp; "") + (G21:G34="")))</f>
        <v>#DIV/0!</v>
      </c>
      <c r="H62" s="220" t="e">
        <f>+G62*24/($G$60*24)</f>
        <v>#DIV/0!</v>
      </c>
      <c r="I62" s="190"/>
      <c r="J62" s="190"/>
    </row>
    <row r="63" spans="2:13" ht="38" customHeight="1" x14ac:dyDescent="0.3">
      <c r="E63" s="448" t="s">
        <v>92</v>
      </c>
      <c r="F63" s="448"/>
      <c r="G63" s="221" t="e">
        <f>+SUM(V21:V34)/D60</f>
        <v>#DIV/0!</v>
      </c>
      <c r="H63" s="220" t="e">
        <f>+G63/G61</f>
        <v>#DIV/0!</v>
      </c>
      <c r="I63" s="190"/>
      <c r="J63" s="190"/>
    </row>
    <row r="64" spans="2:13" ht="38" customHeight="1" x14ac:dyDescent="0.3">
      <c r="G64" s="222" t="s">
        <v>87</v>
      </c>
      <c r="H64" s="139" t="s">
        <v>23</v>
      </c>
    </row>
    <row r="65" spans="2:10" ht="20" customHeight="1" x14ac:dyDescent="0.3">
      <c r="F65" s="208" t="s">
        <v>65</v>
      </c>
      <c r="G65" s="221">
        <f t="shared" ref="G65:G70" si="8" xml:space="preserve"> SUMIF($G$21:$G$34, +F65,$V$21:$V$34)</f>
        <v>0</v>
      </c>
      <c r="H65" s="220">
        <f t="shared" ref="H65:H70" si="9">+G65/$G$61</f>
        <v>0</v>
      </c>
    </row>
    <row r="66" spans="2:10" ht="20" customHeight="1" x14ac:dyDescent="0.3">
      <c r="F66" s="208" t="s">
        <v>66</v>
      </c>
      <c r="G66" s="221">
        <f t="shared" si="8"/>
        <v>0</v>
      </c>
      <c r="H66" s="220">
        <f t="shared" si="9"/>
        <v>0</v>
      </c>
    </row>
    <row r="67" spans="2:10" ht="20" customHeight="1" x14ac:dyDescent="0.3">
      <c r="F67" s="208" t="s">
        <v>67</v>
      </c>
      <c r="G67" s="221">
        <f t="shared" si="8"/>
        <v>0</v>
      </c>
      <c r="H67" s="220">
        <f t="shared" si="9"/>
        <v>0</v>
      </c>
    </row>
    <row r="68" spans="2:10" ht="20" customHeight="1" x14ac:dyDescent="0.3">
      <c r="F68" s="208" t="s">
        <v>68</v>
      </c>
      <c r="G68" s="221">
        <f t="shared" si="8"/>
        <v>0</v>
      </c>
      <c r="H68" s="220">
        <f t="shared" si="9"/>
        <v>0</v>
      </c>
    </row>
    <row r="69" spans="2:10" ht="20" customHeight="1" x14ac:dyDescent="0.3">
      <c r="F69" s="208" t="s">
        <v>69</v>
      </c>
      <c r="G69" s="221">
        <f t="shared" si="8"/>
        <v>0</v>
      </c>
      <c r="H69" s="220">
        <f t="shared" si="9"/>
        <v>0</v>
      </c>
    </row>
    <row r="70" spans="2:10" ht="20" customHeight="1" x14ac:dyDescent="0.3">
      <c r="F70" s="208" t="s">
        <v>70</v>
      </c>
      <c r="G70" s="221">
        <f t="shared" si="8"/>
        <v>0</v>
      </c>
      <c r="H70" s="220">
        <f t="shared" si="9"/>
        <v>0</v>
      </c>
    </row>
    <row r="71" spans="2:10" ht="20" customHeight="1" x14ac:dyDescent="0.3">
      <c r="F71" s="208" t="s">
        <v>146</v>
      </c>
      <c r="G71" s="223">
        <f>+SUM(G65:G70)</f>
        <v>0</v>
      </c>
      <c r="H71" s="220" t="e">
        <f>+G71/($G$61*$D$60)</f>
        <v>#DIV/0!</v>
      </c>
    </row>
    <row r="72" spans="2:10" ht="13.5" thickBot="1" x14ac:dyDescent="0.35"/>
    <row r="73" spans="2:10" ht="30" customHeight="1" thickBot="1" x14ac:dyDescent="0.35">
      <c r="B73" s="191"/>
      <c r="C73" s="446" t="s">
        <v>107</v>
      </c>
      <c r="D73" s="446"/>
      <c r="E73" s="192"/>
      <c r="F73" s="192"/>
      <c r="G73" s="192"/>
      <c r="H73" s="192"/>
      <c r="I73" s="216"/>
      <c r="J73" s="193"/>
    </row>
    <row r="74" spans="2:10" ht="38" customHeight="1" x14ac:dyDescent="0.3">
      <c r="C74" s="208" t="s">
        <v>95</v>
      </c>
      <c r="D74" s="195">
        <f>SUMPRODUCT((LEFT(G21:G34, 5)="Scoop") / (COUNTIF(G21:G34, G21:G34 &amp; "") + (G21:G34="")))</f>
        <v>1</v>
      </c>
      <c r="E74" s="447" t="s">
        <v>90</v>
      </c>
      <c r="F74" s="447"/>
      <c r="G74" s="218">
        <v>0.20833333333333334</v>
      </c>
      <c r="I74" s="139"/>
      <c r="J74" s="190"/>
    </row>
    <row r="75" spans="2:10" ht="38" customHeight="1" x14ac:dyDescent="0.3">
      <c r="C75" s="208" t="s">
        <v>145</v>
      </c>
      <c r="D75" s="195">
        <v>4.9000000000000004</v>
      </c>
      <c r="E75" s="447" t="s">
        <v>97</v>
      </c>
      <c r="F75" s="447"/>
      <c r="G75" s="195">
        <f>15000/(60)</f>
        <v>250</v>
      </c>
      <c r="H75" s="219" t="s">
        <v>23</v>
      </c>
      <c r="I75" s="139"/>
      <c r="J75" s="190"/>
    </row>
    <row r="76" spans="2:10" ht="38" customHeight="1" x14ac:dyDescent="0.3">
      <c r="E76" s="448" t="s">
        <v>98</v>
      </c>
      <c r="F76" s="448"/>
      <c r="G76" s="207">
        <f>+SUM(SUMIF($G$21:$G$34, "Scoop*", $J$21:$J$34))/SUMPRODUCT((LEFT(G21:G34, 5)="Scoop") / (COUNTIF(G21:G34, G21:G34 &amp; "") + (G21:G34="")))</f>
        <v>0.32291666666666669</v>
      </c>
      <c r="H76" s="220">
        <f>+G76*24/($G$74*24)</f>
        <v>1.55</v>
      </c>
      <c r="I76" s="190"/>
      <c r="J76" s="190"/>
    </row>
    <row r="77" spans="2:10" ht="38" customHeight="1" x14ac:dyDescent="0.3">
      <c r="E77" s="448" t="s">
        <v>99</v>
      </c>
      <c r="F77" s="448"/>
      <c r="G77" s="221">
        <f>+SUM(W21:W34)*D75/D74</f>
        <v>0</v>
      </c>
      <c r="H77" s="220">
        <f>+G77/G75</f>
        <v>0</v>
      </c>
      <c r="I77" s="190"/>
      <c r="J77" s="190"/>
    </row>
    <row r="78" spans="2:10" ht="38" customHeight="1" x14ac:dyDescent="0.3">
      <c r="G78" s="222" t="s">
        <v>96</v>
      </c>
      <c r="H78" s="139" t="s">
        <v>23</v>
      </c>
    </row>
    <row r="79" spans="2:10" ht="20" customHeight="1" x14ac:dyDescent="0.3">
      <c r="F79" s="208" t="s">
        <v>71</v>
      </c>
      <c r="G79" s="221">
        <f t="shared" ref="G79:G84" si="10" xml:space="preserve"> SUMIF($G$21:$G$34, +F79,$W$21:$W$34)*$D$75</f>
        <v>0</v>
      </c>
      <c r="H79" s="220">
        <f>+G79/$G$75</f>
        <v>0</v>
      </c>
    </row>
    <row r="80" spans="2:10" ht="20" customHeight="1" x14ac:dyDescent="0.3">
      <c r="F80" s="208" t="s">
        <v>72</v>
      </c>
      <c r="G80" s="221">
        <f t="shared" si="10"/>
        <v>0</v>
      </c>
      <c r="H80" s="220">
        <f t="shared" ref="H80:H85" si="11">+G80/$G$75</f>
        <v>0</v>
      </c>
    </row>
    <row r="81" spans="2:10" ht="20" customHeight="1" x14ac:dyDescent="0.3">
      <c r="F81" s="208" t="s">
        <v>73</v>
      </c>
      <c r="G81" s="221">
        <f t="shared" si="10"/>
        <v>0</v>
      </c>
      <c r="H81" s="220">
        <f t="shared" si="11"/>
        <v>0</v>
      </c>
    </row>
    <row r="82" spans="2:10" ht="20" customHeight="1" x14ac:dyDescent="0.3">
      <c r="F82" s="208" t="s">
        <v>74</v>
      </c>
      <c r="G82" s="221">
        <f t="shared" si="10"/>
        <v>0</v>
      </c>
      <c r="H82" s="220">
        <f t="shared" si="11"/>
        <v>0</v>
      </c>
    </row>
    <row r="83" spans="2:10" ht="20" customHeight="1" x14ac:dyDescent="0.3">
      <c r="F83" s="208" t="s">
        <v>75</v>
      </c>
      <c r="G83" s="221">
        <f t="shared" si="10"/>
        <v>0</v>
      </c>
      <c r="H83" s="220">
        <f t="shared" si="11"/>
        <v>0</v>
      </c>
    </row>
    <row r="84" spans="2:10" ht="20" customHeight="1" x14ac:dyDescent="0.3">
      <c r="F84" s="208" t="s">
        <v>76</v>
      </c>
      <c r="G84" s="221">
        <f t="shared" si="10"/>
        <v>0</v>
      </c>
      <c r="H84" s="220">
        <f t="shared" si="11"/>
        <v>0</v>
      </c>
    </row>
    <row r="85" spans="2:10" ht="20" customHeight="1" x14ac:dyDescent="0.3">
      <c r="F85" s="208" t="s">
        <v>146</v>
      </c>
      <c r="G85" s="223">
        <f>+SUM(G79:G84)</f>
        <v>0</v>
      </c>
      <c r="H85" s="220">
        <f t="shared" si="11"/>
        <v>0</v>
      </c>
    </row>
    <row r="86" spans="2:10" ht="13.5" thickBot="1" x14ac:dyDescent="0.35"/>
    <row r="87" spans="2:10" ht="30" customHeight="1" thickBot="1" x14ac:dyDescent="0.35">
      <c r="B87" s="191"/>
      <c r="C87" s="446" t="s">
        <v>149</v>
      </c>
      <c r="D87" s="446"/>
      <c r="E87" s="192"/>
      <c r="F87" s="192"/>
      <c r="G87" s="192"/>
      <c r="H87" s="192"/>
      <c r="I87" s="216"/>
      <c r="J87" s="193"/>
    </row>
    <row r="88" spans="2:10" ht="25.25" customHeight="1" x14ac:dyDescent="0.3">
      <c r="C88" s="208" t="s">
        <v>150</v>
      </c>
      <c r="D88" s="195">
        <f>SUMPRODUCT((LEFT(G21:G34, 8)="Roboshot") / (COUNTIF(G21:G34, G21:G34 &amp; "") + (G21:G34="")))</f>
        <v>0</v>
      </c>
      <c r="E88" s="447" t="s">
        <v>90</v>
      </c>
      <c r="F88" s="447"/>
      <c r="G88" s="218">
        <v>0.20833333333333334</v>
      </c>
    </row>
    <row r="89" spans="2:10" x14ac:dyDescent="0.3">
      <c r="C89" s="208"/>
      <c r="D89" s="195"/>
      <c r="E89" s="447" t="s">
        <v>97</v>
      </c>
      <c r="F89" s="447"/>
      <c r="G89" s="195">
        <v>12</v>
      </c>
      <c r="H89" s="219" t="s">
        <v>23</v>
      </c>
    </row>
    <row r="91" spans="2:10" x14ac:dyDescent="0.3">
      <c r="G91" s="222" t="s">
        <v>96</v>
      </c>
      <c r="H91" s="139" t="s">
        <v>23</v>
      </c>
    </row>
    <row r="92" spans="2:10" x14ac:dyDescent="0.3">
      <c r="F92" s="208" t="s">
        <v>77</v>
      </c>
      <c r="G92" s="221">
        <f xml:space="preserve"> SUMIF($G$21:$G$34, +F92,$X$21:$X$34)</f>
        <v>0</v>
      </c>
      <c r="H92" s="220">
        <f>+G92/$G$89</f>
        <v>0</v>
      </c>
    </row>
    <row r="93" spans="2:10" x14ac:dyDescent="0.3">
      <c r="F93" s="208" t="s">
        <v>78</v>
      </c>
      <c r="G93" s="221">
        <f xml:space="preserve"> SUMIF($G$21:$G$34, +F93,$X$21:$X$34)</f>
        <v>0</v>
      </c>
      <c r="H93" s="220">
        <f t="shared" ref="H93:H94" si="12">+G93/$G$89</f>
        <v>0</v>
      </c>
    </row>
    <row r="94" spans="2:10" x14ac:dyDescent="0.3">
      <c r="F94" s="208" t="s">
        <v>79</v>
      </c>
      <c r="G94" s="221">
        <f xml:space="preserve"> SUMIF($G$21:$G$34, +F94,$X$21:$X$34)</f>
        <v>0</v>
      </c>
      <c r="H94" s="220">
        <f t="shared" si="12"/>
        <v>0</v>
      </c>
    </row>
    <row r="95" spans="2:10" x14ac:dyDescent="0.3">
      <c r="F95" s="208" t="s">
        <v>146</v>
      </c>
      <c r="G95" s="223">
        <f>+SUM(G92:G94)</f>
        <v>0</v>
      </c>
      <c r="H95" s="220">
        <f>+G95/$G$89</f>
        <v>0</v>
      </c>
    </row>
  </sheetData>
  <mergeCells count="41">
    <mergeCell ref="E46:G46"/>
    <mergeCell ref="K8:L8"/>
    <mergeCell ref="B1:D4"/>
    <mergeCell ref="E2:R2"/>
    <mergeCell ref="E3:R4"/>
    <mergeCell ref="K6:L6"/>
    <mergeCell ref="K7:L7"/>
    <mergeCell ref="E54:G54"/>
    <mergeCell ref="E55:G55"/>
    <mergeCell ref="E47:G47"/>
    <mergeCell ref="K9:L9"/>
    <mergeCell ref="K10:L10"/>
    <mergeCell ref="K11:L11"/>
    <mergeCell ref="K12:L12"/>
    <mergeCell ref="B14:S14"/>
    <mergeCell ref="C39:D39"/>
    <mergeCell ref="G39:H39"/>
    <mergeCell ref="I39:J39"/>
    <mergeCell ref="K39:L39"/>
    <mergeCell ref="E40:F40"/>
    <mergeCell ref="E41:F41"/>
    <mergeCell ref="E42:F42"/>
    <mergeCell ref="E45:G45"/>
    <mergeCell ref="E48:G48"/>
    <mergeCell ref="E49:G49"/>
    <mergeCell ref="E50:G50"/>
    <mergeCell ref="E51:G51"/>
    <mergeCell ref="E53:G53"/>
    <mergeCell ref="C59:D59"/>
    <mergeCell ref="E60:F60"/>
    <mergeCell ref="E61:F61"/>
    <mergeCell ref="E62:F62"/>
    <mergeCell ref="E88:F88"/>
    <mergeCell ref="E63:F63"/>
    <mergeCell ref="E89:F89"/>
    <mergeCell ref="C73:D73"/>
    <mergeCell ref="E74:F74"/>
    <mergeCell ref="E75:F75"/>
    <mergeCell ref="E76:F76"/>
    <mergeCell ref="E77:F77"/>
    <mergeCell ref="C87:D87"/>
  </mergeCells>
  <conditionalFormatting sqref="H41:H42 J41:J42">
    <cfRule type="cellIs" dxfId="377" priority="13" operator="greaterThan">
      <formula>0.9</formula>
    </cfRule>
    <cfRule type="cellIs" dxfId="376" priority="14" operator="between">
      <formula>0.81</formula>
      <formula>0.89</formula>
    </cfRule>
    <cfRule type="cellIs" dxfId="375" priority="15" operator="lessThan">
      <formula>0.8</formula>
    </cfRule>
  </conditionalFormatting>
  <conditionalFormatting sqref="H62:H63">
    <cfRule type="cellIs" dxfId="374" priority="16" operator="greaterThan">
      <formula>0.9</formula>
    </cfRule>
    <cfRule type="cellIs" dxfId="373" priority="17" operator="between">
      <formula>0.81</formula>
      <formula>0.89</formula>
    </cfRule>
    <cfRule type="cellIs" dxfId="372" priority="18" operator="lessThan">
      <formula>0.8</formula>
    </cfRule>
  </conditionalFormatting>
  <conditionalFormatting sqref="H65:H71">
    <cfRule type="cellIs" dxfId="371" priority="19" operator="greaterThan">
      <formula>0.9</formula>
    </cfRule>
    <cfRule type="cellIs" dxfId="370" priority="20" operator="between">
      <formula>0.81</formula>
      <formula>0.89</formula>
    </cfRule>
    <cfRule type="cellIs" dxfId="369" priority="21" operator="lessThan">
      <formula>0.8</formula>
    </cfRule>
  </conditionalFormatting>
  <conditionalFormatting sqref="H76:H77">
    <cfRule type="cellIs" dxfId="368" priority="7" operator="greaterThan">
      <formula>0.9</formula>
    </cfRule>
    <cfRule type="cellIs" dxfId="367" priority="8" operator="between">
      <formula>0.81</formula>
      <formula>0.89</formula>
    </cfRule>
    <cfRule type="cellIs" dxfId="366" priority="9" operator="lessThan">
      <formula>0.8</formula>
    </cfRule>
  </conditionalFormatting>
  <conditionalFormatting sqref="H79:H85">
    <cfRule type="cellIs" dxfId="365" priority="10" operator="greaterThan">
      <formula>0.9</formula>
    </cfRule>
    <cfRule type="cellIs" dxfId="364" priority="11" operator="between">
      <formula>0.81</formula>
      <formula>0.89</formula>
    </cfRule>
    <cfRule type="cellIs" dxfId="363" priority="12" operator="lessThan">
      <formula>0.8</formula>
    </cfRule>
  </conditionalFormatting>
  <conditionalFormatting sqref="H92:H95">
    <cfRule type="cellIs" dxfId="362" priority="4" operator="greaterThan">
      <formula>0.9</formula>
    </cfRule>
    <cfRule type="cellIs" dxfId="361" priority="5" operator="between">
      <formula>0.81</formula>
      <formula>0.89</formula>
    </cfRule>
    <cfRule type="cellIs" dxfId="360" priority="6" operator="lessThan">
      <formula>0.8</formula>
    </cfRule>
  </conditionalFormatting>
  <conditionalFormatting sqref="L41:L42">
    <cfRule type="cellIs" dxfId="359" priority="1" operator="greaterThan">
      <formula>0.9</formula>
    </cfRule>
    <cfRule type="cellIs" dxfId="358" priority="2" operator="between">
      <formula>0.81</formula>
      <formula>0.89</formula>
    </cfRule>
    <cfRule type="cellIs" dxfId="357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9E4D947-53C6-4701-B36F-5E20D0D44A9A}">
          <x14:formula1>
            <xm:f>Datos!$F$3:$F$41</xm:f>
          </x14:formula1>
          <xm:sqref>G29:G37 G21:G26</xm:sqref>
        </x14:dataValidation>
        <x14:dataValidation type="list" allowBlank="1" showInputMessage="1" showErrorMessage="1" xr:uid="{BA68D14A-314D-40F1-8447-3E25C27A655B}">
          <x14:formula1>
            <xm:f>Datos!$W$3:$W$12</xm:f>
          </x14:formula1>
          <xm:sqref>L29:L37 L21:L26</xm:sqref>
        </x14:dataValidation>
        <x14:dataValidation type="list" allowBlank="1" showInputMessage="1" showErrorMessage="1" xr:uid="{8B983CB3-687A-4FB0-B160-A919451EC974}">
          <x14:formula1>
            <xm:f>Datos!$D$3:$D$27</xm:f>
          </x14:formula1>
          <xm:sqref>F29:F37 F21:F26</xm:sqref>
        </x14:dataValidation>
        <x14:dataValidation type="list" allowBlank="1" showInputMessage="1" showErrorMessage="1" xr:uid="{7784BD85-F620-470C-8C73-C7EF0DAF8AD9}">
          <x14:formula1>
            <xm:f>Datos!$B$3:$B$8</xm:f>
          </x14:formula1>
          <xm:sqref>E29:E37 E21:E26</xm:sqref>
        </x14:dataValidation>
        <x14:dataValidation type="list" allowBlank="1" showInputMessage="1" showErrorMessage="1" xr:uid="{AF33835C-FA7F-4D39-825D-8E11E2F846D7}">
          <x14:formula1>
            <xm:f>Datos!$H$3:$H$34</xm:f>
          </x14:formula1>
          <xm:sqref>D29:D36 D21:D25</xm:sqref>
        </x14:dataValidation>
        <x14:dataValidation type="list" allowBlank="1" showInputMessage="1" showErrorMessage="1" xr:uid="{9C583909-B234-4A82-B712-D36291A6DF26}">
          <x14:formula1>
            <xm:f>Datos!$H$3:$H$26</xm:f>
          </x14:formula1>
          <xm:sqref>D26 D37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0550-343F-443F-86EA-08DE0B7D74D4}">
  <sheetPr>
    <pageSetUpPr fitToPage="1"/>
  </sheetPr>
  <dimension ref="B1:X93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J31" sqref="J31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4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+G39</f>
        <v>0.1979166666666666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+H40</f>
        <v>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+G69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+G83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+G93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110</v>
      </c>
      <c r="E21" s="172" t="s">
        <v>6</v>
      </c>
      <c r="F21" s="172" t="s">
        <v>165</v>
      </c>
      <c r="G21" s="172"/>
      <c r="H21" s="174">
        <v>0.82986111111111116</v>
      </c>
      <c r="I21" s="174">
        <v>0.84722222222222221</v>
      </c>
      <c r="J21" s="175">
        <f t="shared" ref="J21:J23" si="0">MOD(I21-H21, 1)</f>
        <v>1.7361111111111049E-2</v>
      </c>
      <c r="K21" s="178"/>
      <c r="L21" s="177"/>
      <c r="M21" s="178"/>
      <c r="N21" s="179">
        <v>1</v>
      </c>
      <c r="O21" s="186" t="s">
        <v>460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172</v>
      </c>
      <c r="E22" s="172" t="s">
        <v>6</v>
      </c>
      <c r="F22" s="172" t="s">
        <v>165</v>
      </c>
      <c r="G22" s="172"/>
      <c r="H22" s="174">
        <v>0.875</v>
      </c>
      <c r="I22" s="174">
        <v>0.90625</v>
      </c>
      <c r="J22" s="175">
        <f t="shared" si="0"/>
        <v>3.125E-2</v>
      </c>
      <c r="K22" s="178"/>
      <c r="L22" s="177"/>
      <c r="M22" s="178"/>
      <c r="N22" s="179">
        <v>1</v>
      </c>
      <c r="O22" s="186" t="s">
        <v>459</v>
      </c>
      <c r="P22" s="181"/>
      <c r="Q22" s="174"/>
      <c r="R22" s="172"/>
      <c r="S22" s="175">
        <f t="shared" ref="S22:S24" si="1">+MOD(R22-Q22,1)</f>
        <v>0</v>
      </c>
      <c r="U22" s="182">
        <f>+IFERROR(VLOOKUP(D22,Datos!$R$3:$T$19,3,FALSE), "0")*N22</f>
        <v>0</v>
      </c>
      <c r="V22" s="183" t="str">
        <f t="shared" ref="V22:V24" si="2">IF(OR(D22="Perforación de Fortificación", D22="Perforación de Avance", D22="Perforación Desquinche"), K22*M22, "")</f>
        <v/>
      </c>
      <c r="W22" s="183" t="str">
        <f t="shared" ref="W22:W24" si="3">IF(D22="Extracción de Marina Disparo",K22,"")</f>
        <v/>
      </c>
      <c r="X22" s="183" t="str">
        <f t="shared" ref="X22:X24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105</v>
      </c>
      <c r="E23" s="172" t="s">
        <v>6</v>
      </c>
      <c r="F23" s="172" t="s">
        <v>165</v>
      </c>
      <c r="G23" s="172" t="s">
        <v>204</v>
      </c>
      <c r="H23" s="174">
        <v>0.10069444444444445</v>
      </c>
      <c r="I23" s="174">
        <v>0.25</v>
      </c>
      <c r="J23" s="175">
        <f t="shared" si="0"/>
        <v>0.14930555555555555</v>
      </c>
      <c r="K23" s="178">
        <v>25</v>
      </c>
      <c r="L23" s="177" t="s">
        <v>128</v>
      </c>
      <c r="M23" s="178"/>
      <c r="N23" s="179">
        <v>1</v>
      </c>
      <c r="O23" s="186" t="s">
        <v>462</v>
      </c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/>
      <c r="C24" s="173"/>
      <c r="D24" s="173"/>
      <c r="E24" s="172"/>
      <c r="F24" s="172"/>
      <c r="G24" s="172"/>
      <c r="H24" s="174"/>
      <c r="I24" s="174" t="s">
        <v>329</v>
      </c>
      <c r="J24" s="175">
        <f>MOD(I23-H21, 1)</f>
        <v>0.42013888888888884</v>
      </c>
      <c r="K24" s="178"/>
      <c r="L24" s="177"/>
      <c r="M24" s="178"/>
      <c r="N24" s="179"/>
      <c r="O24" s="186" t="s">
        <v>436</v>
      </c>
      <c r="P24" s="172"/>
      <c r="Q24" s="172"/>
      <c r="R24" s="172"/>
      <c r="S24" s="175">
        <f t="shared" si="1"/>
        <v>0</v>
      </c>
      <c r="U24" s="182">
        <f>SUM(U21:U23)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x14ac:dyDescent="0.3">
      <c r="B25" s="185" t="s">
        <v>158</v>
      </c>
      <c r="C25" s="63" t="s">
        <v>194</v>
      </c>
      <c r="D25" s="63"/>
      <c r="E25" s="63"/>
      <c r="F25" s="63"/>
      <c r="G25" s="63"/>
      <c r="H25" s="63"/>
      <c r="I25" s="63"/>
      <c r="J25" s="64"/>
      <c r="K25" s="64"/>
      <c r="L25" s="171"/>
      <c r="M25" s="63"/>
      <c r="N25" s="64"/>
      <c r="O25" s="64"/>
      <c r="P25" s="63"/>
      <c r="Q25" s="63"/>
      <c r="R25" s="63"/>
      <c r="S25" s="64"/>
      <c r="U25" s="63"/>
      <c r="V25" s="64"/>
      <c r="W25" s="64"/>
      <c r="X25" s="64"/>
    </row>
    <row r="26" spans="2:24" ht="52" x14ac:dyDescent="0.3">
      <c r="B26" s="63" t="s">
        <v>3</v>
      </c>
      <c r="C26" s="63" t="s">
        <v>2</v>
      </c>
      <c r="D26" s="63" t="s">
        <v>5</v>
      </c>
      <c r="E26" s="63" t="s">
        <v>22</v>
      </c>
      <c r="F26" s="63" t="s">
        <v>139</v>
      </c>
      <c r="G26" s="63" t="s">
        <v>29</v>
      </c>
      <c r="H26" s="63" t="s">
        <v>121</v>
      </c>
      <c r="I26" s="63" t="s">
        <v>4</v>
      </c>
      <c r="J26" s="64" t="s">
        <v>122</v>
      </c>
      <c r="K26" s="64" t="s">
        <v>131</v>
      </c>
      <c r="L26" s="171" t="s">
        <v>123</v>
      </c>
      <c r="M26" s="63" t="s">
        <v>134</v>
      </c>
      <c r="N26" s="64" t="s">
        <v>24</v>
      </c>
      <c r="O26" s="64" t="s">
        <v>130</v>
      </c>
      <c r="P26" s="63" t="s">
        <v>132</v>
      </c>
      <c r="Q26" s="63" t="s">
        <v>121</v>
      </c>
      <c r="R26" s="63" t="s">
        <v>4</v>
      </c>
      <c r="S26" s="64" t="s">
        <v>137</v>
      </c>
      <c r="U26" s="63" t="s">
        <v>109</v>
      </c>
      <c r="V26" s="64" t="s">
        <v>87</v>
      </c>
      <c r="W26" s="64" t="s">
        <v>128</v>
      </c>
      <c r="X26" s="64" t="s">
        <v>128</v>
      </c>
    </row>
    <row r="27" spans="2:24" ht="38" customHeight="1" x14ac:dyDescent="0.3">
      <c r="B27" s="172">
        <v>3700</v>
      </c>
      <c r="C27" s="173" t="str">
        <f>+Datos!$R$23</f>
        <v>Ciclo Minero 5,2 x 5,6 m
Galería Acceso Portal de Servicio</v>
      </c>
      <c r="D27" s="173" t="s">
        <v>110</v>
      </c>
      <c r="E27" s="172" t="s">
        <v>6</v>
      </c>
      <c r="F27" s="172" t="s">
        <v>166</v>
      </c>
      <c r="G27" s="172"/>
      <c r="H27" s="174">
        <v>0.83333333333333337</v>
      </c>
      <c r="I27" s="174">
        <v>1.3333333333333333</v>
      </c>
      <c r="J27" s="175">
        <f>I27-H27</f>
        <v>0.49999999999999989</v>
      </c>
      <c r="K27" s="178"/>
      <c r="L27" s="177"/>
      <c r="M27" s="178"/>
      <c r="N27" s="179">
        <v>1</v>
      </c>
      <c r="O27" s="186" t="s">
        <v>428</v>
      </c>
      <c r="P27" s="225"/>
      <c r="Q27" s="174"/>
      <c r="R27" s="174"/>
      <c r="S27" s="175"/>
      <c r="U27" s="187">
        <f>+IFERROR(VLOOKUP(D27,Datos!$R$24:$T$40,3,FALSE), "0")*N27</f>
        <v>0</v>
      </c>
      <c r="V27" s="183" t="str">
        <f t="shared" ref="V27:V35" si="5">IF(OR(D27="Perforación de Fortificación", D27="Perforación de Avance", D27="Perforación Desquinche"), K27*M27, "")</f>
        <v/>
      </c>
      <c r="W27" s="183" t="str">
        <f>IF(D27="Extracción de Marina Disparo",K27,"")</f>
        <v/>
      </c>
      <c r="X27" s="183" t="str">
        <f t="shared" ref="X27:X35" si="6">IF(OR(D27="Shotcrete", D27="Pre Shotcrete"), K27, "")</f>
        <v/>
      </c>
    </row>
    <row r="28" spans="2:24" ht="38" customHeight="1" x14ac:dyDescent="0.3">
      <c r="B28" s="172">
        <v>3700</v>
      </c>
      <c r="C28" s="173" t="str">
        <f>+Datos!$R$23</f>
        <v>Ciclo Minero 5,2 x 5,6 m
Galería Acceso Portal de Servicio</v>
      </c>
      <c r="D28" s="173"/>
      <c r="E28" s="172"/>
      <c r="F28" s="172"/>
      <c r="G28" s="172"/>
      <c r="H28" s="174"/>
      <c r="I28" s="174"/>
      <c r="J28" s="175"/>
      <c r="K28" s="178"/>
      <c r="L28" s="177"/>
      <c r="M28" s="178"/>
      <c r="N28" s="179"/>
      <c r="O28" s="225"/>
      <c r="P28" s="173"/>
      <c r="Q28" s="174"/>
      <c r="R28" s="174"/>
      <c r="S28" s="175"/>
      <c r="U28" s="187">
        <f>+IFERROR(VLOOKUP(D28,Datos!$R$24:$T$40,3,FALSE), "0")*N28</f>
        <v>0</v>
      </c>
      <c r="V28" s="183" t="str">
        <f t="shared" si="5"/>
        <v/>
      </c>
      <c r="W28" s="183" t="str">
        <f>IF(D28="Extracción de Marina Disparo",K28,"")</f>
        <v/>
      </c>
      <c r="X28" s="183" t="str">
        <f t="shared" si="6"/>
        <v/>
      </c>
    </row>
    <row r="29" spans="2:24" ht="53.4" customHeight="1" x14ac:dyDescent="0.3">
      <c r="B29" s="172">
        <v>3700</v>
      </c>
      <c r="C29" s="173" t="str">
        <f>+C27</f>
        <v>Ciclo Minero 5,2 x 5,6 m
Galería Acceso Portal de Servicio</v>
      </c>
      <c r="D29" s="173"/>
      <c r="E29" s="172"/>
      <c r="F29" s="172"/>
      <c r="G29" s="172"/>
      <c r="H29" s="174"/>
      <c r="I29" s="174"/>
      <c r="J29" s="175"/>
      <c r="K29" s="178"/>
      <c r="L29" s="177"/>
      <c r="M29" s="178"/>
      <c r="N29" s="179"/>
      <c r="O29" s="225"/>
      <c r="P29" s="181"/>
      <c r="Q29" s="174"/>
      <c r="R29" s="174"/>
      <c r="S29" s="175"/>
      <c r="U29" s="187">
        <f>+IFERROR(VLOOKUP(D29,Datos!$R$24:$T$40,3,FALSE), "0")*N29</f>
        <v>0</v>
      </c>
      <c r="V29" s="183" t="str">
        <f t="shared" si="5"/>
        <v/>
      </c>
      <c r="W29" s="183" t="str">
        <f t="shared" ref="W29:W35" si="7">IF(D29="Extracción de Marina Disparo",K29,"")</f>
        <v/>
      </c>
      <c r="X29" s="183" t="str">
        <f t="shared" si="6"/>
        <v/>
      </c>
    </row>
    <row r="30" spans="2:24" ht="38" customHeight="1" x14ac:dyDescent="0.3">
      <c r="B30" s="172">
        <v>3700</v>
      </c>
      <c r="C30" s="173" t="s">
        <v>397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186"/>
      <c r="P30" s="172"/>
      <c r="Q30" s="172"/>
      <c r="R30" s="172"/>
      <c r="S30" s="175"/>
      <c r="U30" s="187">
        <f>+IFERROR(VLOOKUP(D30,Datos!$R$24:$T$40,3,FALSE), "0")*N30</f>
        <v>0</v>
      </c>
      <c r="V30" s="183" t="str">
        <f t="shared" si="5"/>
        <v/>
      </c>
      <c r="W30" s="183" t="str">
        <f t="shared" si="7"/>
        <v/>
      </c>
      <c r="X30" s="183"/>
    </row>
    <row r="31" spans="2:24" ht="38" customHeight="1" x14ac:dyDescent="0.3">
      <c r="B31" s="172">
        <v>3700</v>
      </c>
      <c r="C31" s="173" t="str">
        <f>+C30</f>
        <v>Fróntón Bodega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186"/>
      <c r="P31" s="181"/>
      <c r="Q31" s="174"/>
      <c r="R31" s="174"/>
      <c r="S31" s="175"/>
      <c r="U31" s="187">
        <f>+IFERROR(VLOOKUP(D31,Datos!$R$24:$T$40,3,FALSE), "0")*N31</f>
        <v>0</v>
      </c>
      <c r="V31" s="183" t="str">
        <f t="shared" si="5"/>
        <v/>
      </c>
      <c r="W31" s="183" t="str">
        <f t="shared" si="7"/>
        <v/>
      </c>
      <c r="X31" s="183" t="str">
        <f t="shared" si="6"/>
        <v/>
      </c>
    </row>
    <row r="32" spans="2:24" ht="38" customHeight="1" x14ac:dyDescent="0.3">
      <c r="B32" s="172"/>
      <c r="C32" s="173"/>
      <c r="D32" s="173"/>
      <c r="E32" s="172"/>
      <c r="F32" s="172"/>
      <c r="G32" s="172"/>
      <c r="H32" s="174"/>
      <c r="I32" s="174"/>
      <c r="J32" s="175">
        <f>MOD(I32-H32, 1)</f>
        <v>0</v>
      </c>
      <c r="K32" s="178"/>
      <c r="L32" s="177"/>
      <c r="M32" s="178"/>
      <c r="N32" s="179"/>
      <c r="O32" s="225"/>
      <c r="P32" s="172"/>
      <c r="Q32" s="172"/>
      <c r="R32" s="172"/>
      <c r="S32" s="175">
        <f t="shared" ref="S32:S35" si="8">+MOD(R32-Q32,1)</f>
        <v>0</v>
      </c>
      <c r="U32" s="187">
        <f>+IFERROR(VLOOKUP(D32,Datos!$R$24:$T$40,3,FALSE), "0")*N32</f>
        <v>0</v>
      </c>
      <c r="V32" s="183" t="str">
        <f t="shared" si="5"/>
        <v/>
      </c>
      <c r="W32" s="183" t="str">
        <f t="shared" si="7"/>
        <v/>
      </c>
      <c r="X32" s="183" t="str">
        <f t="shared" si="6"/>
        <v/>
      </c>
    </row>
    <row r="33" spans="2:24" ht="38" customHeight="1" x14ac:dyDescent="0.3">
      <c r="B33" s="172"/>
      <c r="C33" s="173"/>
      <c r="D33" s="173"/>
      <c r="E33" s="172"/>
      <c r="F33" s="172"/>
      <c r="G33" s="172"/>
      <c r="H33" s="174"/>
      <c r="I33" s="174"/>
      <c r="J33" s="175">
        <f>MOD(I33-H33, 1)</f>
        <v>0</v>
      </c>
      <c r="K33" s="178"/>
      <c r="L33" s="177"/>
      <c r="M33" s="178"/>
      <c r="N33" s="179"/>
      <c r="O33" s="186"/>
      <c r="P33" s="172"/>
      <c r="Q33" s="172"/>
      <c r="R33" s="172"/>
      <c r="S33" s="175">
        <f t="shared" si="8"/>
        <v>0</v>
      </c>
      <c r="U33" s="187"/>
      <c r="V33" s="183" t="str">
        <f t="shared" si="5"/>
        <v/>
      </c>
      <c r="W33" s="183" t="str">
        <f t="shared" si="7"/>
        <v/>
      </c>
      <c r="X33" s="183" t="str">
        <f t="shared" si="6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186"/>
      <c r="P34" s="172"/>
      <c r="Q34" s="172"/>
      <c r="R34" s="172"/>
      <c r="S34" s="175">
        <f t="shared" si="8"/>
        <v>0</v>
      </c>
      <c r="U34" s="187"/>
      <c r="V34" s="183" t="str">
        <f t="shared" si="5"/>
        <v/>
      </c>
      <c r="W34" s="183" t="str">
        <f t="shared" si="7"/>
        <v/>
      </c>
      <c r="X34" s="183" t="str">
        <f t="shared" si="6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 t="s">
        <v>329</v>
      </c>
      <c r="J35" s="175"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8"/>
        <v>0</v>
      </c>
      <c r="U35" s="182">
        <f>SUM(U27:U34)</f>
        <v>0</v>
      </c>
      <c r="V35" s="183" t="str">
        <f t="shared" si="5"/>
        <v/>
      </c>
      <c r="W35" s="183" t="str">
        <f t="shared" si="7"/>
        <v/>
      </c>
      <c r="X35" s="183" t="str">
        <f t="shared" si="6"/>
        <v/>
      </c>
    </row>
    <row r="36" spans="2:24" ht="15.65" customHeight="1" thickBot="1" x14ac:dyDescent="0.35">
      <c r="B36" s="190"/>
      <c r="C36" s="190"/>
      <c r="D36" s="190"/>
      <c r="E36" s="190"/>
      <c r="F36" s="190"/>
      <c r="G36" s="190"/>
      <c r="H36" s="190"/>
      <c r="J36" s="190"/>
      <c r="K36" s="190"/>
      <c r="L36" s="190"/>
      <c r="M36" s="190"/>
      <c r="N36" s="190"/>
      <c r="O36" s="190"/>
      <c r="P36" s="190"/>
      <c r="Q36" s="190"/>
      <c r="R36" s="190"/>
      <c r="S36" s="190"/>
    </row>
    <row r="37" spans="2:24" ht="30" customHeight="1" thickBot="1" x14ac:dyDescent="0.35">
      <c r="B37" s="191"/>
      <c r="C37" s="446" t="s">
        <v>64</v>
      </c>
      <c r="D37" s="446"/>
      <c r="E37" s="192"/>
      <c r="F37" s="192"/>
      <c r="G37" s="431">
        <v>3500</v>
      </c>
      <c r="H37" s="432"/>
      <c r="I37" s="431">
        <v>3700</v>
      </c>
      <c r="J37" s="432"/>
      <c r="K37" s="433" t="s">
        <v>146</v>
      </c>
      <c r="L37" s="434"/>
      <c r="M37" s="190"/>
      <c r="N37" s="190"/>
      <c r="O37" s="190"/>
      <c r="P37" s="190"/>
      <c r="Q37" s="190"/>
      <c r="R37" s="190"/>
      <c r="S37" s="190"/>
    </row>
    <row r="38" spans="2:24" ht="30" customHeight="1" x14ac:dyDescent="0.3">
      <c r="C38" s="194" t="s">
        <v>48</v>
      </c>
      <c r="D38" s="195">
        <f>SUMPRODUCT((LEFT(F21:F32, 1)="C") / (COUNTIF(F21:F32, F21:F32 &amp; "") + (F21:F32="")))</f>
        <v>0</v>
      </c>
      <c r="E38" s="447" t="s">
        <v>90</v>
      </c>
      <c r="F38" s="447"/>
      <c r="G38" s="196">
        <v>0.26041666666666669</v>
      </c>
      <c r="H38" s="197" t="s">
        <v>23</v>
      </c>
      <c r="I38" s="196">
        <v>0.26041666666666669</v>
      </c>
      <c r="J38" s="197" t="s">
        <v>23</v>
      </c>
      <c r="K38" s="198">
        <f>+G38</f>
        <v>0.26041666666666669</v>
      </c>
      <c r="L38" s="197" t="s">
        <v>23</v>
      </c>
      <c r="M38" s="190"/>
      <c r="N38" s="190"/>
      <c r="O38" s="190"/>
      <c r="P38" s="190"/>
      <c r="Q38" s="190"/>
      <c r="R38" s="190"/>
      <c r="S38" s="190"/>
    </row>
    <row r="39" spans="2:24" x14ac:dyDescent="0.3">
      <c r="C39" s="194" t="s">
        <v>49</v>
      </c>
      <c r="D39" s="195">
        <f>SUMPRODUCT((LEFT(F21:F32, 1)="O") / (COUNTIF(F21:F32, F21:F32 &amp; "") + (F21:F32="")))</f>
        <v>0</v>
      </c>
      <c r="E39" s="448" t="s">
        <v>198</v>
      </c>
      <c r="F39" s="448"/>
      <c r="G39" s="199">
        <f>SUM(J21:J23)</f>
        <v>0.1979166666666666</v>
      </c>
      <c r="H39" s="200">
        <f>+G39*24/($G$38*24)</f>
        <v>0.75999999999999968</v>
      </c>
      <c r="I39" s="199">
        <f>SUM(J27:J32)</f>
        <v>0.49999999999999989</v>
      </c>
      <c r="J39" s="200">
        <f>+I39*24/($I$38*24)</f>
        <v>1.9199999999999995</v>
      </c>
      <c r="K39" s="201">
        <f>AVERAGE(G39+I39)/2</f>
        <v>0.34895833333333326</v>
      </c>
      <c r="L39" s="200">
        <f>+K39*24/($K$38*24)</f>
        <v>1.3399999999999996</v>
      </c>
      <c r="M39" s="190"/>
      <c r="N39" s="190"/>
      <c r="O39" s="190"/>
      <c r="P39" s="190"/>
      <c r="Q39" s="190"/>
      <c r="R39" s="190"/>
      <c r="S39" s="190"/>
    </row>
    <row r="40" spans="2:24" ht="43.25" customHeight="1" thickBot="1" x14ac:dyDescent="0.35">
      <c r="E40" s="448" t="s">
        <v>94</v>
      </c>
      <c r="F40" s="448"/>
      <c r="G40" s="202"/>
      <c r="H40" s="203">
        <f>+AVERAGE(N21:N24)</f>
        <v>1</v>
      </c>
      <c r="I40" s="202"/>
      <c r="J40" s="203">
        <f>+AVERAGE(N27:N32)</f>
        <v>1</v>
      </c>
      <c r="K40" s="204"/>
      <c r="L40" s="203">
        <f>+AVERAGE(N21:N32)</f>
        <v>1</v>
      </c>
    </row>
    <row r="41" spans="2:24" ht="43.25" customHeight="1" x14ac:dyDescent="0.3">
      <c r="E41" s="205"/>
      <c r="F41" s="205"/>
      <c r="G41" s="206"/>
      <c r="H41" s="206"/>
      <c r="I41" s="137"/>
      <c r="J41" s="137"/>
      <c r="K41" s="137"/>
      <c r="L41" s="137"/>
    </row>
    <row r="42" spans="2:24" ht="43.25" customHeight="1" x14ac:dyDescent="0.3">
      <c r="E42" s="194"/>
      <c r="F42" s="194"/>
      <c r="G42" s="207"/>
      <c r="H42" s="208" t="s">
        <v>24</v>
      </c>
      <c r="I42" s="208" t="s">
        <v>199</v>
      </c>
      <c r="J42" s="208" t="s">
        <v>201</v>
      </c>
      <c r="K42" s="208" t="s">
        <v>404</v>
      </c>
      <c r="L42" s="345" t="s">
        <v>484</v>
      </c>
      <c r="M42" s="345" t="s">
        <v>485</v>
      </c>
      <c r="N42" s="208"/>
    </row>
    <row r="43" spans="2:24" ht="14.5" x14ac:dyDescent="0.35">
      <c r="E43" s="445" t="s">
        <v>174</v>
      </c>
      <c r="F43" s="445"/>
      <c r="G43" s="445"/>
      <c r="H43" s="209">
        <f>+U35</f>
        <v>0</v>
      </c>
      <c r="I43" s="298">
        <f>+H43*$J$43*$K$43</f>
        <v>0</v>
      </c>
      <c r="J43" s="298">
        <v>6.6</v>
      </c>
      <c r="K43" s="246">
        <v>3.42</v>
      </c>
      <c r="L43" s="344">
        <v>56.080975609756102</v>
      </c>
      <c r="M43" s="344">
        <f>+L43*K43*H43</f>
        <v>0</v>
      </c>
    </row>
    <row r="44" spans="2:24" ht="14.4" customHeight="1" x14ac:dyDescent="0.35">
      <c r="E44" s="445" t="s">
        <v>224</v>
      </c>
      <c r="F44" s="445"/>
      <c r="G44" s="445"/>
      <c r="H44" s="209"/>
      <c r="I44" s="298">
        <f>+J44*K44</f>
        <v>0</v>
      </c>
      <c r="J44" s="298">
        <f>1892/1000000</f>
        <v>1.892E-3</v>
      </c>
      <c r="K44" s="246">
        <f>+((15*4.4)*2.72)*0</f>
        <v>0</v>
      </c>
      <c r="L44" s="346">
        <v>1.6919982016368774E-2</v>
      </c>
      <c r="M44" s="344">
        <f>+L44*K44</f>
        <v>0</v>
      </c>
    </row>
    <row r="45" spans="2:24" ht="14.4" customHeight="1" x14ac:dyDescent="0.35">
      <c r="E45" s="445" t="s">
        <v>359</v>
      </c>
      <c r="F45" s="445"/>
      <c r="G45" s="445"/>
      <c r="H45" s="209"/>
      <c r="I45" s="298">
        <f>+J45*K45</f>
        <v>0</v>
      </c>
      <c r="J45" s="298">
        <v>0.340368</v>
      </c>
      <c r="K45" s="246">
        <v>0</v>
      </c>
      <c r="L45" s="346">
        <v>2.2358937544867188</v>
      </c>
      <c r="M45" s="344">
        <f>+L45*K45</f>
        <v>0</v>
      </c>
    </row>
    <row r="46" spans="2:24" ht="14.4" customHeight="1" x14ac:dyDescent="0.35">
      <c r="E46" s="445" t="s">
        <v>376</v>
      </c>
      <c r="F46" s="445"/>
      <c r="G46" s="445"/>
      <c r="H46" s="209">
        <v>0</v>
      </c>
      <c r="I46" s="298">
        <f>+H46*$J$46*$K$46</f>
        <v>0</v>
      </c>
      <c r="J46" s="298">
        <f>23683234/1000000</f>
        <v>23.683233999999999</v>
      </c>
      <c r="K46" s="226">
        <v>0</v>
      </c>
      <c r="L46" s="346">
        <v>254.98967741935485</v>
      </c>
      <c r="M46" s="344">
        <f>+L46*K46*H46</f>
        <v>0</v>
      </c>
    </row>
    <row r="47" spans="2:24" ht="14.4" customHeight="1" x14ac:dyDescent="0.35">
      <c r="E47" s="445" t="s">
        <v>236</v>
      </c>
      <c r="F47" s="445"/>
      <c r="G47" s="445"/>
      <c r="H47" s="209"/>
      <c r="I47" s="298">
        <f>+J47*K47</f>
        <v>0</v>
      </c>
      <c r="J47" s="298">
        <f>25508/1000000</f>
        <v>2.5507999999999999E-2</v>
      </c>
      <c r="K47" s="246">
        <f>7/(0.05)*0</f>
        <v>0</v>
      </c>
      <c r="L47" s="347" t="s">
        <v>486</v>
      </c>
      <c r="M47" s="349"/>
    </row>
    <row r="48" spans="2:24" ht="14.4" customHeight="1" x14ac:dyDescent="0.35">
      <c r="E48" s="445" t="s">
        <v>451</v>
      </c>
      <c r="F48" s="445"/>
      <c r="G48" s="445"/>
      <c r="H48" s="209">
        <v>1</v>
      </c>
      <c r="I48" s="298">
        <f>H48*J48</f>
        <v>7.9892054999999997</v>
      </c>
      <c r="J48" s="298">
        <f>15978411/2000000</f>
        <v>7.9892054999999997</v>
      </c>
      <c r="K48" s="246"/>
      <c r="L48" s="347" t="s">
        <v>486</v>
      </c>
      <c r="M48" s="344"/>
    </row>
    <row r="49" spans="2:13" ht="14.4" customHeight="1" x14ac:dyDescent="0.35">
      <c r="E49" s="445" t="s">
        <v>298</v>
      </c>
      <c r="F49" s="445"/>
      <c r="G49" s="445"/>
      <c r="H49" s="209"/>
      <c r="I49" s="210">
        <f>SUM(I43:I48)</f>
        <v>7.9892054999999997</v>
      </c>
      <c r="J49" s="214"/>
      <c r="K49" s="246"/>
      <c r="L49" s="344"/>
      <c r="M49" s="344"/>
    </row>
    <row r="50" spans="2:13" ht="14.4" customHeight="1" x14ac:dyDescent="0.35">
      <c r="E50" s="227"/>
      <c r="F50" s="227"/>
      <c r="G50" s="227"/>
      <c r="H50" s="209"/>
      <c r="I50" s="210"/>
      <c r="J50" s="214"/>
      <c r="K50" s="246"/>
      <c r="L50" s="344"/>
      <c r="M50" s="344"/>
    </row>
    <row r="51" spans="2:13" ht="14.4" customHeight="1" x14ac:dyDescent="0.35">
      <c r="E51" s="445" t="s">
        <v>175</v>
      </c>
      <c r="F51" s="445"/>
      <c r="G51" s="445"/>
      <c r="H51" s="209">
        <f>+U24</f>
        <v>0</v>
      </c>
      <c r="I51" s="210">
        <f>+H51*$J$51*$K$51</f>
        <v>0</v>
      </c>
      <c r="J51" s="211">
        <v>11.8</v>
      </c>
      <c r="K51" s="246">
        <v>4</v>
      </c>
      <c r="L51" s="344">
        <v>118.52055555555555</v>
      </c>
      <c r="M51" s="344">
        <f>+L51*K51*H51</f>
        <v>0</v>
      </c>
    </row>
    <row r="52" spans="2:13" ht="14.4" customHeight="1" x14ac:dyDescent="0.35">
      <c r="E52" s="445" t="s">
        <v>225</v>
      </c>
      <c r="F52" s="445"/>
      <c r="G52" s="445"/>
      <c r="H52" s="209"/>
      <c r="I52" s="210">
        <f>+J52*K52</f>
        <v>0</v>
      </c>
      <c r="J52" s="296">
        <f>+J44*0</f>
        <v>0</v>
      </c>
      <c r="K52" s="215">
        <f>+((15*2.8)*2.72)*0</f>
        <v>0</v>
      </c>
      <c r="L52" s="346">
        <v>1.6919982016368774E-2</v>
      </c>
      <c r="M52" s="344">
        <f>+L52*K52</f>
        <v>0</v>
      </c>
    </row>
    <row r="53" spans="2:13" ht="14.4" customHeight="1" x14ac:dyDescent="0.35">
      <c r="E53" s="445" t="s">
        <v>297</v>
      </c>
      <c r="F53" s="445"/>
      <c r="G53" s="445"/>
      <c r="H53" s="209"/>
      <c r="I53" s="210">
        <f>SUM(I51:I52)</f>
        <v>0</v>
      </c>
      <c r="J53" s="214"/>
      <c r="K53" s="246"/>
      <c r="L53" s="347"/>
      <c r="M53" s="349"/>
    </row>
    <row r="54" spans="2:13" ht="14.4" customHeight="1" x14ac:dyDescent="0.3">
      <c r="E54" s="227"/>
      <c r="F54" s="227"/>
      <c r="G54" s="227"/>
      <c r="H54" s="209"/>
      <c r="I54" s="210"/>
      <c r="J54" s="214"/>
      <c r="K54" s="246"/>
      <c r="L54" s="213"/>
      <c r="M54" s="352">
        <f>SUM(M43:M53)</f>
        <v>0</v>
      </c>
    </row>
    <row r="55" spans="2:13" ht="14.4" customHeight="1" x14ac:dyDescent="0.3">
      <c r="L55" s="213"/>
    </row>
    <row r="56" spans="2:13" ht="7.75" customHeight="1" thickBot="1" x14ac:dyDescent="0.35"/>
    <row r="57" spans="2:13" ht="30" customHeight="1" thickBot="1" x14ac:dyDescent="0.35">
      <c r="B57" s="191"/>
      <c r="C57" s="446" t="s">
        <v>88</v>
      </c>
      <c r="D57" s="446"/>
      <c r="E57" s="192"/>
      <c r="F57" s="192"/>
      <c r="G57" s="192"/>
      <c r="H57" s="192"/>
      <c r="I57" s="216"/>
      <c r="J57" s="193"/>
    </row>
    <row r="58" spans="2:13" ht="38" customHeight="1" x14ac:dyDescent="0.3">
      <c r="C58" s="217" t="s">
        <v>89</v>
      </c>
      <c r="D58" s="195">
        <f>SUMPRODUCT((LEFT(G21:G32, 5)="Jumbo") / (COUNTIF(G21:G32, G21:G32 &amp; "") + (G21:G32="")))</f>
        <v>0</v>
      </c>
      <c r="E58" s="447" t="s">
        <v>90</v>
      </c>
      <c r="F58" s="447"/>
      <c r="G58" s="218">
        <v>0.20833333333333334</v>
      </c>
      <c r="I58" s="139"/>
      <c r="J58" s="190"/>
    </row>
    <row r="59" spans="2:13" ht="38" customHeight="1" x14ac:dyDescent="0.3">
      <c r="E59" s="447" t="s">
        <v>93</v>
      </c>
      <c r="F59" s="447"/>
      <c r="G59" s="195">
        <f>15000/(60)</f>
        <v>250</v>
      </c>
      <c r="H59" s="219" t="s">
        <v>143</v>
      </c>
      <c r="I59" s="139"/>
      <c r="J59" s="190"/>
    </row>
    <row r="60" spans="2:13" ht="38" customHeight="1" x14ac:dyDescent="0.3">
      <c r="E60" s="448" t="s">
        <v>91</v>
      </c>
      <c r="F60" s="448"/>
      <c r="G60" s="207" t="e">
        <f>+SUM(SUMIF($G$21:$G$32, "Jumbo*", $J$21:$J$32))/SUMPRODUCT((LEFT(G21:G32, 5)="Jumbo") / (COUNTIF(G21:G32, G21:G32 &amp; "") + (G21:G32="")))</f>
        <v>#DIV/0!</v>
      </c>
      <c r="H60" s="220" t="e">
        <f>+G60*24/($G$58*24)</f>
        <v>#DIV/0!</v>
      </c>
      <c r="I60" s="190"/>
      <c r="J60" s="190"/>
    </row>
    <row r="61" spans="2:13" ht="38" customHeight="1" x14ac:dyDescent="0.3">
      <c r="E61" s="448" t="s">
        <v>92</v>
      </c>
      <c r="F61" s="448"/>
      <c r="G61" s="221" t="e">
        <f>+SUM(V21:V32)/D58</f>
        <v>#DIV/0!</v>
      </c>
      <c r="H61" s="220" t="e">
        <f>+G61/G59</f>
        <v>#DIV/0!</v>
      </c>
      <c r="I61" s="190"/>
      <c r="J61" s="190"/>
    </row>
    <row r="62" spans="2:13" ht="38" customHeight="1" x14ac:dyDescent="0.3">
      <c r="G62" s="222" t="s">
        <v>87</v>
      </c>
      <c r="H62" s="139" t="s">
        <v>23</v>
      </c>
    </row>
    <row r="63" spans="2:13" ht="20" customHeight="1" x14ac:dyDescent="0.3">
      <c r="F63" s="208" t="s">
        <v>65</v>
      </c>
      <c r="G63" s="221">
        <f t="shared" ref="G63:G68" si="9" xml:space="preserve"> SUMIF($G$21:$G$32, +F63,$V$21:$V$32)</f>
        <v>0</v>
      </c>
      <c r="H63" s="220">
        <f t="shared" ref="H63:H68" si="10">+G63/$G$59</f>
        <v>0</v>
      </c>
    </row>
    <row r="64" spans="2:13" ht="20" customHeight="1" x14ac:dyDescent="0.3">
      <c r="F64" s="208" t="s">
        <v>66</v>
      </c>
      <c r="G64" s="221">
        <f t="shared" si="9"/>
        <v>0</v>
      </c>
      <c r="H64" s="220">
        <f t="shared" si="10"/>
        <v>0</v>
      </c>
    </row>
    <row r="65" spans="2:10" ht="20" customHeight="1" x14ac:dyDescent="0.3">
      <c r="F65" s="208" t="s">
        <v>67</v>
      </c>
      <c r="G65" s="221">
        <f t="shared" si="9"/>
        <v>0</v>
      </c>
      <c r="H65" s="220">
        <f t="shared" si="10"/>
        <v>0</v>
      </c>
    </row>
    <row r="66" spans="2:10" ht="20" customHeight="1" x14ac:dyDescent="0.3">
      <c r="F66" s="208" t="s">
        <v>68</v>
      </c>
      <c r="G66" s="221">
        <f t="shared" si="9"/>
        <v>0</v>
      </c>
      <c r="H66" s="220">
        <f t="shared" si="10"/>
        <v>0</v>
      </c>
    </row>
    <row r="67" spans="2:10" ht="20" customHeight="1" x14ac:dyDescent="0.3">
      <c r="F67" s="208" t="s">
        <v>69</v>
      </c>
      <c r="G67" s="221">
        <f t="shared" si="9"/>
        <v>0</v>
      </c>
      <c r="H67" s="220">
        <f t="shared" si="10"/>
        <v>0</v>
      </c>
    </row>
    <row r="68" spans="2:10" ht="20" customHeight="1" x14ac:dyDescent="0.3">
      <c r="F68" s="208" t="s">
        <v>70</v>
      </c>
      <c r="G68" s="221">
        <f t="shared" si="9"/>
        <v>0</v>
      </c>
      <c r="H68" s="220">
        <f t="shared" si="10"/>
        <v>0</v>
      </c>
    </row>
    <row r="69" spans="2:10" ht="20" customHeight="1" x14ac:dyDescent="0.3">
      <c r="F69" s="208" t="s">
        <v>146</v>
      </c>
      <c r="G69" s="223">
        <f>+SUM(G63:G68)</f>
        <v>0</v>
      </c>
      <c r="H69" s="220" t="e">
        <f>+G69/($G$59*$D$58)</f>
        <v>#DIV/0!</v>
      </c>
    </row>
    <row r="70" spans="2:10" ht="13.5" thickBot="1" x14ac:dyDescent="0.35"/>
    <row r="71" spans="2:10" ht="30" customHeight="1" thickBot="1" x14ac:dyDescent="0.35">
      <c r="B71" s="191"/>
      <c r="C71" s="446" t="s">
        <v>107</v>
      </c>
      <c r="D71" s="446"/>
      <c r="E71" s="192"/>
      <c r="F71" s="192"/>
      <c r="G71" s="192"/>
      <c r="H71" s="192"/>
      <c r="I71" s="216"/>
      <c r="J71" s="193"/>
    </row>
    <row r="72" spans="2:10" ht="38" customHeight="1" x14ac:dyDescent="0.3">
      <c r="C72" s="208" t="s">
        <v>95</v>
      </c>
      <c r="D72" s="195">
        <f>SUMPRODUCT((LEFT(G21:G32, 5)="Scoop") / (COUNTIF(G21:G32, G21:G32 &amp; "") + (G21:G32="")))</f>
        <v>1</v>
      </c>
      <c r="E72" s="447" t="s">
        <v>90</v>
      </c>
      <c r="F72" s="447"/>
      <c r="G72" s="218">
        <v>0.20833333333333334</v>
      </c>
      <c r="I72" s="139"/>
      <c r="J72" s="190"/>
    </row>
    <row r="73" spans="2:10" ht="38" customHeight="1" x14ac:dyDescent="0.3">
      <c r="C73" s="208" t="s">
        <v>145</v>
      </c>
      <c r="D73" s="195">
        <v>4.9000000000000004</v>
      </c>
      <c r="E73" s="447" t="s">
        <v>97</v>
      </c>
      <c r="F73" s="447"/>
      <c r="G73" s="195">
        <f>15000/(60)</f>
        <v>250</v>
      </c>
      <c r="H73" s="219" t="s">
        <v>23</v>
      </c>
      <c r="I73" s="139"/>
      <c r="J73" s="190"/>
    </row>
    <row r="74" spans="2:10" ht="38" customHeight="1" x14ac:dyDescent="0.3">
      <c r="E74" s="448" t="s">
        <v>98</v>
      </c>
      <c r="F74" s="448"/>
      <c r="G74" s="207">
        <f>+SUM(SUMIF($G$21:$G$32, "Scoop*", $J$21:$J$32))/SUMPRODUCT((LEFT(G21:G32, 5)="Scoop") / (COUNTIF(G21:G32, G21:G32 &amp; "") + (G21:G32="")))</f>
        <v>0.14930555555555555</v>
      </c>
      <c r="H74" s="220">
        <f>+G74*24/($G$72*24)</f>
        <v>0.71666666666666656</v>
      </c>
      <c r="I74" s="190"/>
      <c r="J74" s="190"/>
    </row>
    <row r="75" spans="2:10" ht="38" customHeight="1" x14ac:dyDescent="0.3">
      <c r="E75" s="448" t="s">
        <v>99</v>
      </c>
      <c r="F75" s="448"/>
      <c r="G75" s="221">
        <f>+SUM(W21:W32)*D73/D72</f>
        <v>0</v>
      </c>
      <c r="H75" s="220">
        <f>+G75/G73</f>
        <v>0</v>
      </c>
      <c r="I75" s="190"/>
      <c r="J75" s="190"/>
    </row>
    <row r="76" spans="2:10" ht="38" customHeight="1" x14ac:dyDescent="0.3">
      <c r="G76" s="222" t="s">
        <v>96</v>
      </c>
      <c r="H76" s="139" t="s">
        <v>23</v>
      </c>
    </row>
    <row r="77" spans="2:10" ht="20" customHeight="1" x14ac:dyDescent="0.3">
      <c r="F77" s="208" t="s">
        <v>71</v>
      </c>
      <c r="G77" s="221">
        <f t="shared" ref="G77:G82" si="11" xml:space="preserve"> SUMIF($G$21:$G$32, +F77,$W$21:$W$32)*$D$73</f>
        <v>0</v>
      </c>
      <c r="H77" s="220">
        <f>+G77/$G$73</f>
        <v>0</v>
      </c>
    </row>
    <row r="78" spans="2:10" ht="20" customHeight="1" x14ac:dyDescent="0.3">
      <c r="F78" s="208" t="s">
        <v>72</v>
      </c>
      <c r="G78" s="221">
        <f t="shared" si="11"/>
        <v>0</v>
      </c>
      <c r="H78" s="220">
        <f t="shared" ref="H78:H83" si="12">+G78/$G$73</f>
        <v>0</v>
      </c>
    </row>
    <row r="79" spans="2:10" ht="20" customHeight="1" x14ac:dyDescent="0.3">
      <c r="F79" s="208" t="s">
        <v>73</v>
      </c>
      <c r="G79" s="221">
        <f t="shared" si="11"/>
        <v>0</v>
      </c>
      <c r="H79" s="220">
        <f t="shared" si="12"/>
        <v>0</v>
      </c>
    </row>
    <row r="80" spans="2:10" ht="20" customHeight="1" x14ac:dyDescent="0.3">
      <c r="F80" s="208" t="s">
        <v>74</v>
      </c>
      <c r="G80" s="221">
        <f t="shared" si="11"/>
        <v>0</v>
      </c>
      <c r="H80" s="220">
        <f t="shared" si="12"/>
        <v>0</v>
      </c>
    </row>
    <row r="81" spans="2:10" ht="20" customHeight="1" x14ac:dyDescent="0.3">
      <c r="F81" s="208" t="s">
        <v>75</v>
      </c>
      <c r="G81" s="221">
        <f t="shared" si="11"/>
        <v>0</v>
      </c>
      <c r="H81" s="220">
        <f t="shared" si="12"/>
        <v>0</v>
      </c>
    </row>
    <row r="82" spans="2:10" ht="20" customHeight="1" x14ac:dyDescent="0.3">
      <c r="F82" s="208" t="s">
        <v>76</v>
      </c>
      <c r="G82" s="221">
        <f t="shared" si="11"/>
        <v>0</v>
      </c>
      <c r="H82" s="220">
        <f t="shared" si="12"/>
        <v>0</v>
      </c>
    </row>
    <row r="83" spans="2:10" ht="20" customHeight="1" x14ac:dyDescent="0.3">
      <c r="F83" s="208" t="s">
        <v>146</v>
      </c>
      <c r="G83" s="223">
        <f>+SUM(G77:G82)</f>
        <v>0</v>
      </c>
      <c r="H83" s="220">
        <f t="shared" si="12"/>
        <v>0</v>
      </c>
    </row>
    <row r="84" spans="2:10" ht="13.5" thickBot="1" x14ac:dyDescent="0.35"/>
    <row r="85" spans="2:10" ht="30" customHeight="1" thickBot="1" x14ac:dyDescent="0.35">
      <c r="B85" s="191"/>
      <c r="C85" s="446" t="s">
        <v>149</v>
      </c>
      <c r="D85" s="446"/>
      <c r="E85" s="192"/>
      <c r="F85" s="192"/>
      <c r="G85" s="192"/>
      <c r="H85" s="192"/>
      <c r="I85" s="216"/>
      <c r="J85" s="193"/>
    </row>
    <row r="86" spans="2:10" ht="25.25" customHeight="1" x14ac:dyDescent="0.3">
      <c r="C86" s="208" t="s">
        <v>150</v>
      </c>
      <c r="D86" s="195">
        <f>SUMPRODUCT((LEFT(G21:G32, 8)="Roboshot") / (COUNTIF(G21:G32, G21:G32 &amp; "") + (G21:G32="")))</f>
        <v>0</v>
      </c>
      <c r="E86" s="447" t="s">
        <v>90</v>
      </c>
      <c r="F86" s="447"/>
      <c r="G86" s="218">
        <v>0.20833333333333334</v>
      </c>
    </row>
    <row r="87" spans="2:10" x14ac:dyDescent="0.3">
      <c r="C87" s="208"/>
      <c r="D87" s="195"/>
      <c r="E87" s="447" t="s">
        <v>97</v>
      </c>
      <c r="F87" s="447"/>
      <c r="G87" s="195">
        <v>12</v>
      </c>
      <c r="H87" s="219" t="s">
        <v>23</v>
      </c>
    </row>
    <row r="89" spans="2:10" x14ac:dyDescent="0.3">
      <c r="G89" s="222" t="s">
        <v>96</v>
      </c>
      <c r="H89" s="139" t="s">
        <v>23</v>
      </c>
    </row>
    <row r="90" spans="2:10" x14ac:dyDescent="0.3">
      <c r="F90" s="208" t="s">
        <v>77</v>
      </c>
      <c r="G90" s="221">
        <f xml:space="preserve"> SUMIF($G$21:$G$32, +F90,$X$21:$X$32)</f>
        <v>0</v>
      </c>
      <c r="H90" s="220">
        <f>+G90/$G$87</f>
        <v>0</v>
      </c>
    </row>
    <row r="91" spans="2:10" x14ac:dyDescent="0.3">
      <c r="F91" s="208" t="s">
        <v>78</v>
      </c>
      <c r="G91" s="221">
        <f xml:space="preserve"> SUMIF($G$21:$G$32, +F91,$X$21:$X$32)</f>
        <v>0</v>
      </c>
      <c r="H91" s="220">
        <f t="shared" ref="H91:H92" si="13">+G91/$G$87</f>
        <v>0</v>
      </c>
    </row>
    <row r="92" spans="2:10" x14ac:dyDescent="0.3">
      <c r="F92" s="208" t="s">
        <v>79</v>
      </c>
      <c r="G92" s="221">
        <f xml:space="preserve"> SUMIF($G$21:$G$32, +F92,$X$21:$X$32)</f>
        <v>0</v>
      </c>
      <c r="H92" s="220">
        <f t="shared" si="13"/>
        <v>0</v>
      </c>
    </row>
    <row r="93" spans="2:10" x14ac:dyDescent="0.3">
      <c r="F93" s="208" t="s">
        <v>146</v>
      </c>
      <c r="G93" s="223">
        <f>+SUM(G90:G92)</f>
        <v>0</v>
      </c>
      <c r="H93" s="220">
        <f>+G93/$G$87</f>
        <v>0</v>
      </c>
    </row>
  </sheetData>
  <mergeCells count="41">
    <mergeCell ref="E87:F87"/>
    <mergeCell ref="C71:D71"/>
    <mergeCell ref="E72:F72"/>
    <mergeCell ref="E73:F73"/>
    <mergeCell ref="E74:F74"/>
    <mergeCell ref="E75:F75"/>
    <mergeCell ref="C85:D85"/>
    <mergeCell ref="C57:D57"/>
    <mergeCell ref="E58:F58"/>
    <mergeCell ref="E59:F59"/>
    <mergeCell ref="E60:F60"/>
    <mergeCell ref="E86:F86"/>
    <mergeCell ref="E61:F61"/>
    <mergeCell ref="E46:G46"/>
    <mergeCell ref="E47:G47"/>
    <mergeCell ref="E48:G48"/>
    <mergeCell ref="E49:G49"/>
    <mergeCell ref="E51:G51"/>
    <mergeCell ref="E52:G52"/>
    <mergeCell ref="E53:G53"/>
    <mergeCell ref="E45:G45"/>
    <mergeCell ref="K9:L9"/>
    <mergeCell ref="K10:L10"/>
    <mergeCell ref="K11:L11"/>
    <mergeCell ref="K12:L12"/>
    <mergeCell ref="B14:S14"/>
    <mergeCell ref="C37:D37"/>
    <mergeCell ref="G37:H37"/>
    <mergeCell ref="I37:J37"/>
    <mergeCell ref="K37:L37"/>
    <mergeCell ref="E38:F38"/>
    <mergeCell ref="E39:F39"/>
    <mergeCell ref="E40:F40"/>
    <mergeCell ref="E43:G43"/>
    <mergeCell ref="E44:G44"/>
    <mergeCell ref="K8:L8"/>
    <mergeCell ref="B1:D4"/>
    <mergeCell ref="E2:R2"/>
    <mergeCell ref="E3:R4"/>
    <mergeCell ref="K6:L6"/>
    <mergeCell ref="K7:L7"/>
  </mergeCells>
  <conditionalFormatting sqref="H39:H40 J39:J40">
    <cfRule type="cellIs" dxfId="356" priority="13" operator="greaterThan">
      <formula>0.9</formula>
    </cfRule>
    <cfRule type="cellIs" dxfId="355" priority="14" operator="between">
      <formula>0.81</formula>
      <formula>0.89</formula>
    </cfRule>
    <cfRule type="cellIs" dxfId="354" priority="15" operator="lessThan">
      <formula>0.8</formula>
    </cfRule>
  </conditionalFormatting>
  <conditionalFormatting sqref="H60:H61">
    <cfRule type="cellIs" dxfId="353" priority="16" operator="greaterThan">
      <formula>0.9</formula>
    </cfRule>
    <cfRule type="cellIs" dxfId="352" priority="17" operator="between">
      <formula>0.81</formula>
      <formula>0.89</formula>
    </cfRule>
    <cfRule type="cellIs" dxfId="351" priority="18" operator="lessThan">
      <formula>0.8</formula>
    </cfRule>
  </conditionalFormatting>
  <conditionalFormatting sqref="H63:H69">
    <cfRule type="cellIs" dxfId="350" priority="19" operator="greaterThan">
      <formula>0.9</formula>
    </cfRule>
    <cfRule type="cellIs" dxfId="349" priority="20" operator="between">
      <formula>0.81</formula>
      <formula>0.89</formula>
    </cfRule>
    <cfRule type="cellIs" dxfId="348" priority="21" operator="lessThan">
      <formula>0.8</formula>
    </cfRule>
  </conditionalFormatting>
  <conditionalFormatting sqref="H74:H75">
    <cfRule type="cellIs" dxfId="347" priority="7" operator="greaterThan">
      <formula>0.9</formula>
    </cfRule>
    <cfRule type="cellIs" dxfId="346" priority="8" operator="between">
      <formula>0.81</formula>
      <formula>0.89</formula>
    </cfRule>
    <cfRule type="cellIs" dxfId="345" priority="9" operator="lessThan">
      <formula>0.8</formula>
    </cfRule>
  </conditionalFormatting>
  <conditionalFormatting sqref="H77:H83">
    <cfRule type="cellIs" dxfId="344" priority="10" operator="greaterThan">
      <formula>0.9</formula>
    </cfRule>
    <cfRule type="cellIs" dxfId="343" priority="11" operator="between">
      <formula>0.81</formula>
      <formula>0.89</formula>
    </cfRule>
    <cfRule type="cellIs" dxfId="342" priority="12" operator="lessThan">
      <formula>0.8</formula>
    </cfRule>
  </conditionalFormatting>
  <conditionalFormatting sqref="H90:H93">
    <cfRule type="cellIs" dxfId="341" priority="4" operator="greaterThan">
      <formula>0.9</formula>
    </cfRule>
    <cfRule type="cellIs" dxfId="340" priority="5" operator="between">
      <formula>0.81</formula>
      <formula>0.89</formula>
    </cfRule>
    <cfRule type="cellIs" dxfId="339" priority="6" operator="lessThan">
      <formula>0.8</formula>
    </cfRule>
  </conditionalFormatting>
  <conditionalFormatting sqref="L39:L40">
    <cfRule type="cellIs" dxfId="338" priority="1" operator="greaterThan">
      <formula>0.9</formula>
    </cfRule>
    <cfRule type="cellIs" dxfId="337" priority="2" operator="between">
      <formula>0.81</formula>
      <formula>0.89</formula>
    </cfRule>
    <cfRule type="cellIs" dxfId="336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C375664-2E52-4A0F-908A-4FA4BAF3FB2B}">
          <x14:formula1>
            <xm:f>Datos!$B$3:$B$8</xm:f>
          </x14:formula1>
          <xm:sqref>E27:E35 E21:E24</xm:sqref>
        </x14:dataValidation>
        <x14:dataValidation type="list" allowBlank="1" showInputMessage="1" showErrorMessage="1" xr:uid="{3A37D4EB-F405-45B4-B51B-DDF8EC18C271}">
          <x14:formula1>
            <xm:f>Datos!$D$3:$D$27</xm:f>
          </x14:formula1>
          <xm:sqref>F27:F35 F21:F24</xm:sqref>
        </x14:dataValidation>
        <x14:dataValidation type="list" allowBlank="1" showInputMessage="1" showErrorMessage="1" xr:uid="{275B22C8-12F9-4BDC-96F9-15114AF8DA91}">
          <x14:formula1>
            <xm:f>Datos!$W$3:$W$12</xm:f>
          </x14:formula1>
          <xm:sqref>L27:L35 L21:L24</xm:sqref>
        </x14:dataValidation>
        <x14:dataValidation type="list" allowBlank="1" showInputMessage="1" showErrorMessage="1" xr:uid="{6B35B78E-DCED-49E4-8604-92B2589143B4}">
          <x14:formula1>
            <xm:f>Datos!$F$3:$F$41</xm:f>
          </x14:formula1>
          <xm:sqref>G27:G35 G21:G24</xm:sqref>
        </x14:dataValidation>
        <x14:dataValidation type="list" allowBlank="1" showInputMessage="1" showErrorMessage="1" xr:uid="{9A8FECC0-58CB-4C66-9DF2-F8DFFA9B9FB4}">
          <x14:formula1>
            <xm:f>Datos!$H$3:$H$26</xm:f>
          </x14:formula1>
          <xm:sqref>D24 D35</xm:sqref>
        </x14:dataValidation>
        <x14:dataValidation type="list" allowBlank="1" showInputMessage="1" showErrorMessage="1" xr:uid="{9E82844D-B5D2-4A54-9C6E-A7786D7D0DD0}">
          <x14:formula1>
            <xm:f>Datos!$H$3:$H$34</xm:f>
          </x14:formula1>
          <xm:sqref>D27:D34 D21:D23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3187-19AC-404D-B16F-8D19144921BA}">
  <sheetPr>
    <pageSetUpPr fitToPage="1"/>
  </sheetPr>
  <dimension ref="B1:X96"/>
  <sheetViews>
    <sheetView showGridLines="0" topLeftCell="A19" zoomScaleNormal="10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L24" sqref="L2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6328125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0.85763888888888884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+G72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+G86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+G96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172</v>
      </c>
      <c r="E21" s="172" t="s">
        <v>6</v>
      </c>
      <c r="F21" s="172" t="s">
        <v>163</v>
      </c>
      <c r="G21" s="172" t="s">
        <v>210</v>
      </c>
      <c r="H21" s="174">
        <v>0.35416666666666669</v>
      </c>
      <c r="I21" s="174">
        <v>0.36458333333333331</v>
      </c>
      <c r="J21" s="175">
        <f t="shared" ref="J21:J26" si="0">I21-H21</f>
        <v>1.041666666666663E-2</v>
      </c>
      <c r="K21" s="178"/>
      <c r="L21" s="177"/>
      <c r="M21" s="178"/>
      <c r="N21" s="179">
        <v>1</v>
      </c>
      <c r="O21" s="186" t="s">
        <v>456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110</v>
      </c>
      <c r="E22" s="172" t="s">
        <v>6</v>
      </c>
      <c r="F22" s="172" t="s">
        <v>163</v>
      </c>
      <c r="G22" s="172" t="s">
        <v>210</v>
      </c>
      <c r="H22" s="174">
        <v>0.36458333333333331</v>
      </c>
      <c r="I22" s="174">
        <v>0.39583333333333331</v>
      </c>
      <c r="J22" s="175">
        <f t="shared" si="0"/>
        <v>3.125E-2</v>
      </c>
      <c r="K22" s="178"/>
      <c r="L22" s="177"/>
      <c r="M22" s="178"/>
      <c r="N22" s="179">
        <v>1</v>
      </c>
      <c r="O22" s="225" t="s">
        <v>464</v>
      </c>
      <c r="P22" s="181"/>
      <c r="Q22" s="174"/>
      <c r="R22" s="172"/>
      <c r="S22" s="175">
        <f t="shared" ref="S22:S27" si="1">+MOD(R22-Q22,1)</f>
        <v>0</v>
      </c>
      <c r="U22" s="182">
        <f>+IFERROR(VLOOKUP(D22,Datos!$R$3:$T$19,3,FALSE), "0")*N22</f>
        <v>0</v>
      </c>
      <c r="V22" s="183" t="str">
        <f t="shared" ref="V22:V27" si="2">IF(OR(D22="Perforación de Fortificación", D22="Perforación de Avance", D22="Perforación Desquinche"), K22*M22, "")</f>
        <v/>
      </c>
      <c r="W22" s="183" t="str">
        <f t="shared" ref="W22:W27" si="3">IF(D22="Extracción de Marina Disparo",K22,"")</f>
        <v/>
      </c>
      <c r="X22" s="183" t="str">
        <f t="shared" ref="X22:X27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114</v>
      </c>
      <c r="E23" s="172" t="s">
        <v>6</v>
      </c>
      <c r="F23" s="172" t="s">
        <v>163</v>
      </c>
      <c r="G23" s="172" t="s">
        <v>210</v>
      </c>
      <c r="H23" s="174">
        <v>0.39583333333333331</v>
      </c>
      <c r="I23" s="174">
        <v>0.4513888888888889</v>
      </c>
      <c r="J23" s="175">
        <f t="shared" si="0"/>
        <v>5.555555555555558E-2</v>
      </c>
      <c r="K23" s="178"/>
      <c r="L23" s="177"/>
      <c r="M23" s="178"/>
      <c r="N23" s="179">
        <v>1</v>
      </c>
      <c r="O23" s="186" t="s">
        <v>465</v>
      </c>
      <c r="P23" s="181"/>
      <c r="Q23" s="174"/>
      <c r="R23" s="172"/>
      <c r="S23" s="175">
        <f t="shared" si="1"/>
        <v>0</v>
      </c>
      <c r="U23" s="182">
        <f>+IFERROR(VLOOKUP(D23,Datos!$R$3:$T$19,3,FALSE), "0")*N23</f>
        <v>3.5367940673131766E-2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105</v>
      </c>
      <c r="E24" s="172" t="s">
        <v>6</v>
      </c>
      <c r="F24" s="172" t="s">
        <v>163</v>
      </c>
      <c r="G24" s="172" t="s">
        <v>204</v>
      </c>
      <c r="H24" s="174">
        <v>0.45833333333333331</v>
      </c>
      <c r="I24" s="174">
        <v>0.58333333333333337</v>
      </c>
      <c r="J24" s="175">
        <f t="shared" si="0"/>
        <v>0.12500000000000006</v>
      </c>
      <c r="K24" s="178">
        <v>28</v>
      </c>
      <c r="L24" s="177" t="s">
        <v>128</v>
      </c>
      <c r="M24" s="178"/>
      <c r="N24" s="179">
        <v>1</v>
      </c>
      <c r="O24" s="186" t="s">
        <v>466</v>
      </c>
      <c r="P24" s="181"/>
      <c r="Q24" s="174"/>
      <c r="R24" s="174"/>
      <c r="S24" s="175"/>
      <c r="U24" s="182">
        <f>+IFERROR(VLOOKUP(D24,Datos!$R$3:$T$19,3,FALSE), "0")*N24</f>
        <v>0</v>
      </c>
      <c r="V24" s="183"/>
      <c r="W24" s="183"/>
      <c r="X24" s="183"/>
    </row>
    <row r="25" spans="2:24" ht="38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52</v>
      </c>
      <c r="E25" s="172" t="s">
        <v>6</v>
      </c>
      <c r="F25" s="172" t="s">
        <v>163</v>
      </c>
      <c r="G25" s="172" t="s">
        <v>210</v>
      </c>
      <c r="H25" s="174">
        <v>0.61458333333333337</v>
      </c>
      <c r="I25" s="174">
        <v>0.75</v>
      </c>
      <c r="J25" s="175">
        <f t="shared" si="0"/>
        <v>0.13541666666666663</v>
      </c>
      <c r="K25" s="178"/>
      <c r="L25" s="177"/>
      <c r="M25" s="178"/>
      <c r="N25" s="179">
        <v>1</v>
      </c>
      <c r="O25" s="186" t="s">
        <v>467</v>
      </c>
      <c r="P25" s="181"/>
      <c r="Q25" s="174"/>
      <c r="R25" s="174"/>
      <c r="S25" s="175"/>
      <c r="U25" s="182">
        <f>+IFERROR(VLOOKUP(D25,Datos!$R$3:$T$19,3,FALSE), "0")*N25</f>
        <v>6.8454078722190517E-2</v>
      </c>
      <c r="V25" s="183"/>
      <c r="W25" s="183"/>
      <c r="X25" s="183"/>
    </row>
    <row r="26" spans="2:24" ht="37.75" customHeight="1" x14ac:dyDescent="0.3">
      <c r="B26" s="172"/>
      <c r="C26" s="173"/>
      <c r="D26" s="173" t="s">
        <v>110</v>
      </c>
      <c r="E26" s="172"/>
      <c r="F26" s="172"/>
      <c r="G26" s="172"/>
      <c r="H26" s="174">
        <v>0.33333333333333331</v>
      </c>
      <c r="I26" s="174">
        <v>0.83333333333333337</v>
      </c>
      <c r="J26" s="175">
        <f t="shared" si="0"/>
        <v>0.5</v>
      </c>
      <c r="K26" s="178"/>
      <c r="L26" s="177"/>
      <c r="M26" s="178"/>
      <c r="N26" s="179"/>
      <c r="O26" s="186"/>
      <c r="P26" s="181"/>
      <c r="Q26" s="174"/>
      <c r="R26" s="174"/>
      <c r="S26" s="175"/>
      <c r="U26" s="182"/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MOD(I25-H21, 1)</f>
        <v>0.39583333333333331</v>
      </c>
      <c r="K27" s="178"/>
      <c r="L27" s="177"/>
      <c r="M27" s="178"/>
      <c r="N27" s="179"/>
      <c r="O27" s="186" t="s">
        <v>436</v>
      </c>
      <c r="P27" s="172"/>
      <c r="Q27" s="172"/>
      <c r="R27" s="172"/>
      <c r="S27" s="175">
        <f t="shared" si="1"/>
        <v>0</v>
      </c>
      <c r="U27" s="182">
        <f>SUM(U21:U26)</f>
        <v>0.10382201939532229</v>
      </c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 t="s">
        <v>110</v>
      </c>
      <c r="E30" s="172" t="s">
        <v>6</v>
      </c>
      <c r="F30" s="172" t="s">
        <v>164</v>
      </c>
      <c r="G30" s="172"/>
      <c r="H30" s="174">
        <v>0.33333333333333331</v>
      </c>
      <c r="I30" s="174">
        <v>0.83333333333333337</v>
      </c>
      <c r="J30" s="175">
        <f>I30-H30</f>
        <v>0.5</v>
      </c>
      <c r="K30" s="178"/>
      <c r="L30" s="177"/>
      <c r="M30" s="178"/>
      <c r="N30" s="179">
        <v>1</v>
      </c>
      <c r="O30" s="186" t="s">
        <v>428</v>
      </c>
      <c r="P30" s="225"/>
      <c r="Q30" s="174"/>
      <c r="R30" s="174"/>
      <c r="S30" s="175"/>
      <c r="U30" s="187">
        <f>+IFERROR(VLOOKUP(D30,Datos!$R$24:$T$40,3,FALSE), "0")*N30</f>
        <v>0</v>
      </c>
      <c r="V30" s="183" t="str">
        <f t="shared" ref="V30:V38" si="5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8" si="6">IF(OR(D30="Shotcrete", D30="Pre Shotcrete"), K30, "")</f>
        <v/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73"/>
      <c r="Q31" s="174"/>
      <c r="R31" s="174"/>
      <c r="S31" s="175"/>
      <c r="U31" s="187">
        <f>+IFERROR(VLOOKUP(D31,Datos!$R$24:$T$40,3,FALSE), "0")*N31</f>
        <v>0</v>
      </c>
      <c r="V31" s="183" t="str">
        <f t="shared" si="5"/>
        <v/>
      </c>
      <c r="W31" s="183" t="str">
        <f>IF(D31="Extracción de Marina Disparo",K31,"")</f>
        <v/>
      </c>
      <c r="X31" s="183" t="str">
        <f t="shared" si="6"/>
        <v/>
      </c>
    </row>
    <row r="32" spans="2:24" ht="53.4" customHeight="1" x14ac:dyDescent="0.3">
      <c r="B32" s="172">
        <v>3700</v>
      </c>
      <c r="C32" s="173" t="str">
        <f>+C30</f>
        <v>Ciclo Minero 5,2 x 5,6 m
Galería Acceso Portal de Servicio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225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5"/>
        <v/>
      </c>
      <c r="W32" s="183" t="str">
        <f t="shared" ref="W32:W38" si="7">IF(D32="Extracción de Marina Disparo",K32,"")</f>
        <v/>
      </c>
      <c r="X32" s="183" t="str">
        <f t="shared" si="6"/>
        <v/>
      </c>
    </row>
    <row r="33" spans="2:24" ht="38" customHeight="1" x14ac:dyDescent="0.3">
      <c r="B33" s="172">
        <v>3700</v>
      </c>
      <c r="C33" s="173" t="s">
        <v>397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72"/>
      <c r="Q33" s="172"/>
      <c r="R33" s="172"/>
      <c r="S33" s="175"/>
      <c r="U33" s="187">
        <f>+IFERROR(VLOOKUP(D33,Datos!$R$24:$T$40,3,FALSE), "0")*N33</f>
        <v>0</v>
      </c>
      <c r="V33" s="183" t="str">
        <f t="shared" si="5"/>
        <v/>
      </c>
      <c r="W33" s="183" t="str">
        <f t="shared" si="7"/>
        <v/>
      </c>
      <c r="X33" s="183"/>
    </row>
    <row r="34" spans="2:24" ht="38" customHeight="1" x14ac:dyDescent="0.3">
      <c r="B34" s="172">
        <v>3700</v>
      </c>
      <c r="C34" s="173" t="str">
        <f>+C33</f>
        <v>Fróntón Bodega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6"/>
      <c r="P34" s="181"/>
      <c r="Q34" s="174"/>
      <c r="R34" s="174"/>
      <c r="S34" s="175"/>
      <c r="U34" s="187">
        <f>+IFERROR(VLOOKUP(D34,Datos!$R$24:$T$40,3,FALSE), "0")*N34</f>
        <v>0</v>
      </c>
      <c r="V34" s="183" t="str">
        <f t="shared" si="5"/>
        <v/>
      </c>
      <c r="W34" s="183" t="str">
        <f t="shared" si="7"/>
        <v/>
      </c>
      <c r="X34" s="183" t="str">
        <f t="shared" si="6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225"/>
      <c r="P35" s="172"/>
      <c r="Q35" s="172"/>
      <c r="R35" s="172"/>
      <c r="S35" s="175">
        <f t="shared" ref="S35:S38" si="8">+MOD(R35-Q35,1)</f>
        <v>0</v>
      </c>
      <c r="U35" s="187">
        <f>+IFERROR(VLOOKUP(D35,Datos!$R$24:$T$40,3,FALSE), "0")*N35</f>
        <v>0</v>
      </c>
      <c r="V35" s="183" t="str">
        <f t="shared" si="5"/>
        <v/>
      </c>
      <c r="W35" s="183" t="str">
        <f t="shared" si="7"/>
        <v/>
      </c>
      <c r="X35" s="183" t="str">
        <f t="shared" si="6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8"/>
        <v>0</v>
      </c>
      <c r="U36" s="187"/>
      <c r="V36" s="183" t="str">
        <f t="shared" si="5"/>
        <v/>
      </c>
      <c r="W36" s="183" t="str">
        <f t="shared" si="7"/>
        <v/>
      </c>
      <c r="X36" s="183" t="str">
        <f t="shared" si="6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8"/>
        <v>0</v>
      </c>
      <c r="U37" s="187"/>
      <c r="V37" s="183" t="str">
        <f t="shared" si="5"/>
        <v/>
      </c>
      <c r="W37" s="183" t="str">
        <f t="shared" si="7"/>
        <v/>
      </c>
      <c r="X37" s="183" t="str">
        <f t="shared" si="6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 t="s">
        <v>329</v>
      </c>
      <c r="J38" s="175">
        <v>0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8"/>
        <v>0</v>
      </c>
      <c r="U38" s="182">
        <f>SUM(U30:U37)</f>
        <v>0</v>
      </c>
      <c r="V38" s="183" t="str">
        <f t="shared" si="5"/>
        <v/>
      </c>
      <c r="W38" s="183" t="str">
        <f t="shared" si="7"/>
        <v/>
      </c>
      <c r="X38" s="183" t="str">
        <f t="shared" si="6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SUMPRODUCT((LEFT(F21:F35, 1)="C") / (COUNTIF(F21:F35, F21:F35 &amp; "") + (F21:F35="")))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SUMPRODUCT((LEFT(F21:F35, 1)="O") / (COUNTIF(F21:F35, F21:F35 &amp; "") + (F21:F35="")))</f>
        <v>0</v>
      </c>
      <c r="E42" s="448" t="s">
        <v>198</v>
      </c>
      <c r="F42" s="448"/>
      <c r="G42" s="199">
        <f>SUM(J21:J26)</f>
        <v>0.85763888888888884</v>
      </c>
      <c r="H42" s="200">
        <f>+G42*24/($G$41*24)</f>
        <v>3.293333333333333</v>
      </c>
      <c r="I42" s="199">
        <f>SUM(J30:J35)</f>
        <v>0.5</v>
      </c>
      <c r="J42" s="200">
        <f>+I42*24/($I$41*24)</f>
        <v>1.92</v>
      </c>
      <c r="K42" s="201">
        <f>AVERAGE(G42+I42)/2</f>
        <v>0.67881944444444442</v>
      </c>
      <c r="L42" s="200">
        <f>+K42*24/($K$41*24)</f>
        <v>2.6066666666666665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+AVERAGE(N21:N27)</f>
        <v>1</v>
      </c>
      <c r="I43" s="202"/>
      <c r="J43" s="203">
        <f>+AVERAGE(N30:N35)</f>
        <v>1</v>
      </c>
      <c r="K43" s="204"/>
      <c r="L43" s="203">
        <f>+AVERAGE(N21:N35)</f>
        <v>1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404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+U38</f>
        <v>0</v>
      </c>
      <c r="I46" s="298">
        <f>+H46*$J$46*$K$46</f>
        <v>0</v>
      </c>
      <c r="J46" s="298">
        <v>6.6</v>
      </c>
      <c r="K46" s="246">
        <v>3.42</v>
      </c>
      <c r="L46" s="344">
        <v>56.080975609756102</v>
      </c>
      <c r="M46" s="344">
        <f>+L46*K46*H46</f>
        <v>0</v>
      </c>
    </row>
    <row r="47" spans="2:24" ht="14.4" customHeight="1" x14ac:dyDescent="0.35">
      <c r="E47" s="445" t="s">
        <v>224</v>
      </c>
      <c r="F47" s="445"/>
      <c r="G47" s="445"/>
      <c r="H47" s="209"/>
      <c r="I47" s="298">
        <f>+J47*K47</f>
        <v>0</v>
      </c>
      <c r="J47" s="298">
        <f>1892/1000000</f>
        <v>1.892E-3</v>
      </c>
      <c r="K47" s="246">
        <f>+((15*4.4)*2.72)*0</f>
        <v>0</v>
      </c>
      <c r="L47" s="346">
        <v>1.6919982016368774E-2</v>
      </c>
      <c r="M47" s="344">
        <f>+L47*K47</f>
        <v>0</v>
      </c>
    </row>
    <row r="48" spans="2:24" ht="14.4" customHeight="1" x14ac:dyDescent="0.35">
      <c r="E48" s="445" t="s">
        <v>359</v>
      </c>
      <c r="F48" s="445"/>
      <c r="G48" s="445"/>
      <c r="H48" s="209"/>
      <c r="I48" s="298">
        <f>+J48*K48</f>
        <v>0</v>
      </c>
      <c r="J48" s="298">
        <v>0.340368</v>
      </c>
      <c r="K48" s="246">
        <v>0</v>
      </c>
      <c r="L48" s="346">
        <v>2.2358937544867188</v>
      </c>
      <c r="M48" s="344">
        <f>+L48*K48</f>
        <v>0</v>
      </c>
    </row>
    <row r="49" spans="2:13" ht="14.4" customHeight="1" x14ac:dyDescent="0.35">
      <c r="E49" s="445" t="s">
        <v>376</v>
      </c>
      <c r="F49" s="445"/>
      <c r="G49" s="445"/>
      <c r="H49" s="209">
        <v>0</v>
      </c>
      <c r="I49" s="298">
        <f>+H49*$J$49*$K$49</f>
        <v>0</v>
      </c>
      <c r="J49" s="298">
        <f>23683234/1000000</f>
        <v>23.683233999999999</v>
      </c>
      <c r="K49" s="226">
        <v>0</v>
      </c>
      <c r="L49" s="346">
        <v>254.98967741935485</v>
      </c>
      <c r="M49" s="344">
        <f>+L49*K49*H49</f>
        <v>0</v>
      </c>
    </row>
    <row r="50" spans="2:13" ht="14.4" customHeight="1" x14ac:dyDescent="0.35">
      <c r="E50" s="445" t="s">
        <v>236</v>
      </c>
      <c r="F50" s="445"/>
      <c r="G50" s="445"/>
      <c r="H50" s="209"/>
      <c r="I50" s="298">
        <f>+J50*K50</f>
        <v>0</v>
      </c>
      <c r="J50" s="298">
        <f>25508/1000000</f>
        <v>2.5507999999999999E-2</v>
      </c>
      <c r="K50" s="246">
        <f>7/(0.05)*0</f>
        <v>0</v>
      </c>
      <c r="L50" s="347" t="s">
        <v>486</v>
      </c>
      <c r="M50" s="349"/>
    </row>
    <row r="51" spans="2:13" ht="14.4" customHeight="1" x14ac:dyDescent="0.35">
      <c r="E51" s="445" t="s">
        <v>451</v>
      </c>
      <c r="F51" s="445"/>
      <c r="G51" s="445"/>
      <c r="H51" s="209">
        <v>1</v>
      </c>
      <c r="I51" s="298">
        <f>H51*J51</f>
        <v>7.9892054999999997</v>
      </c>
      <c r="J51" s="298">
        <f>15978411/2000000</f>
        <v>7.9892054999999997</v>
      </c>
      <c r="K51" s="246"/>
      <c r="L51" s="347" t="s">
        <v>486</v>
      </c>
      <c r="M51" s="344"/>
    </row>
    <row r="52" spans="2:13" ht="14.4" customHeight="1" x14ac:dyDescent="0.35">
      <c r="E52" s="445" t="s">
        <v>298</v>
      </c>
      <c r="F52" s="445"/>
      <c r="G52" s="445"/>
      <c r="H52" s="209"/>
      <c r="I52" s="210">
        <f>SUM(I46:I51)</f>
        <v>7.9892054999999997</v>
      </c>
      <c r="J52" s="214"/>
      <c r="K52" s="246"/>
      <c r="L52" s="344"/>
      <c r="M52" s="344"/>
    </row>
    <row r="53" spans="2:13" ht="14.4" customHeight="1" x14ac:dyDescent="0.35">
      <c r="E53" s="227"/>
      <c r="F53" s="227"/>
      <c r="G53" s="227"/>
      <c r="H53" s="209"/>
      <c r="I53" s="210"/>
      <c r="J53" s="214"/>
      <c r="K53" s="246"/>
      <c r="L53" s="344"/>
      <c r="M53" s="344"/>
    </row>
    <row r="54" spans="2:13" ht="14.4" customHeight="1" x14ac:dyDescent="0.35">
      <c r="E54" s="445" t="s">
        <v>175</v>
      </c>
      <c r="F54" s="445"/>
      <c r="G54" s="445"/>
      <c r="H54" s="209">
        <f>+U27</f>
        <v>0.10382201939532229</v>
      </c>
      <c r="I54" s="210">
        <f>+H54*$J$54*$K$54</f>
        <v>4.9003993154592127</v>
      </c>
      <c r="J54" s="211">
        <v>11.8</v>
      </c>
      <c r="K54" s="246">
        <v>4</v>
      </c>
      <c r="L54" s="344">
        <v>118.52055555555555</v>
      </c>
      <c r="M54" s="344">
        <f>+L54*K54*H54</f>
        <v>49.220173670533043</v>
      </c>
    </row>
    <row r="55" spans="2:13" ht="14.4" customHeight="1" x14ac:dyDescent="0.35">
      <c r="E55" s="445" t="s">
        <v>225</v>
      </c>
      <c r="F55" s="445"/>
      <c r="G55" s="445"/>
      <c r="H55" s="209"/>
      <c r="I55" s="210">
        <f>+J55*K55</f>
        <v>0</v>
      </c>
      <c r="J55" s="296">
        <f>+J47*0</f>
        <v>0</v>
      </c>
      <c r="K55" s="215">
        <f>+((15*2.8)*2.72)*K26</f>
        <v>0</v>
      </c>
      <c r="L55" s="346">
        <v>1.6919982016368774E-2</v>
      </c>
      <c r="M55" s="344">
        <f>+L55*K55</f>
        <v>0</v>
      </c>
    </row>
    <row r="56" spans="2:13" ht="14.4" customHeight="1" x14ac:dyDescent="0.35">
      <c r="E56" s="445" t="s">
        <v>297</v>
      </c>
      <c r="F56" s="445"/>
      <c r="G56" s="445"/>
      <c r="H56" s="209"/>
      <c r="I56" s="210">
        <f>SUM(I54:I55)</f>
        <v>4.9003993154592127</v>
      </c>
      <c r="J56" s="214"/>
      <c r="K56" s="246"/>
      <c r="L56" s="347"/>
      <c r="M56" s="349"/>
    </row>
    <row r="57" spans="2:13" ht="14.4" customHeight="1" x14ac:dyDescent="0.3">
      <c r="E57" s="227"/>
      <c r="F57" s="227"/>
      <c r="G57" s="227"/>
      <c r="H57" s="209"/>
      <c r="I57" s="210"/>
      <c r="J57" s="214"/>
      <c r="K57" s="246"/>
      <c r="L57" s="213"/>
      <c r="M57" s="352">
        <f>SUM(M46:M56)</f>
        <v>49.220173670533043</v>
      </c>
    </row>
    <row r="58" spans="2:13" ht="14.4" customHeight="1" x14ac:dyDescent="0.3">
      <c r="L58" s="213"/>
    </row>
    <row r="59" spans="2:13" ht="7.75" customHeight="1" thickBot="1" x14ac:dyDescent="0.35"/>
    <row r="60" spans="2:13" ht="30" customHeight="1" thickBot="1" x14ac:dyDescent="0.35">
      <c r="B60" s="191"/>
      <c r="C60" s="446" t="s">
        <v>88</v>
      </c>
      <c r="D60" s="446"/>
      <c r="E60" s="192"/>
      <c r="F60" s="192"/>
      <c r="G60" s="192"/>
      <c r="H60" s="192"/>
      <c r="I60" s="216"/>
      <c r="J60" s="193"/>
    </row>
    <row r="61" spans="2:13" ht="38" customHeight="1" x14ac:dyDescent="0.3">
      <c r="C61" s="217" t="s">
        <v>89</v>
      </c>
      <c r="D61" s="195">
        <f>SUMPRODUCT((LEFT(G21:G35, 5)="Jumbo") / (COUNTIF(G21:G35, G21:G35 &amp; "") + (G21:G35="")))</f>
        <v>0</v>
      </c>
      <c r="E61" s="447" t="s">
        <v>90</v>
      </c>
      <c r="F61" s="447"/>
      <c r="G61" s="218">
        <v>0.20833333333333334</v>
      </c>
      <c r="I61" s="139"/>
      <c r="J61" s="190"/>
    </row>
    <row r="62" spans="2:13" ht="38" customHeight="1" x14ac:dyDescent="0.3">
      <c r="E62" s="447" t="s">
        <v>93</v>
      </c>
      <c r="F62" s="447"/>
      <c r="G62" s="195">
        <f>15000/(60)</f>
        <v>250</v>
      </c>
      <c r="H62" s="219" t="s">
        <v>143</v>
      </c>
      <c r="I62" s="139"/>
      <c r="J62" s="190"/>
    </row>
    <row r="63" spans="2:13" ht="38" customHeight="1" x14ac:dyDescent="0.3">
      <c r="E63" s="448" t="s">
        <v>91</v>
      </c>
      <c r="F63" s="448"/>
      <c r="G63" s="207" t="e">
        <f>+SUM(SUMIF($G$21:$G$35, "Jumbo*", $J$21:$J$35))/SUMPRODUCT((LEFT(G21:G35, 5)="Jumbo") / (COUNTIF(G21:G35, G21:G35 &amp; "") + (G21:G35="")))</f>
        <v>#DIV/0!</v>
      </c>
      <c r="H63" s="220" t="e">
        <f>+G63*24/($G$61*24)</f>
        <v>#DIV/0!</v>
      </c>
      <c r="I63" s="190"/>
      <c r="J63" s="190"/>
    </row>
    <row r="64" spans="2:13" ht="38" customHeight="1" x14ac:dyDescent="0.3">
      <c r="E64" s="448" t="s">
        <v>92</v>
      </c>
      <c r="F64" s="448"/>
      <c r="G64" s="221" t="e">
        <f>+SUM(V21:V35)/D61</f>
        <v>#DIV/0!</v>
      </c>
      <c r="H64" s="220" t="e">
        <f>+G64/G62</f>
        <v>#DIV/0!</v>
      </c>
      <c r="I64" s="190"/>
      <c r="J64" s="190"/>
    </row>
    <row r="65" spans="2:10" ht="38" customHeight="1" x14ac:dyDescent="0.3">
      <c r="G65" s="222" t="s">
        <v>87</v>
      </c>
      <c r="H65" s="139" t="s">
        <v>23</v>
      </c>
    </row>
    <row r="66" spans="2:10" ht="20" customHeight="1" x14ac:dyDescent="0.3">
      <c r="F66" s="208" t="s">
        <v>65</v>
      </c>
      <c r="G66" s="221">
        <f t="shared" ref="G66:G71" si="9" xml:space="preserve"> SUMIF($G$21:$G$35, +F66,$V$21:$V$35)</f>
        <v>0</v>
      </c>
      <c r="H66" s="220">
        <f t="shared" ref="H66:H71" si="10">+G66/$G$62</f>
        <v>0</v>
      </c>
    </row>
    <row r="67" spans="2:10" ht="20" customHeight="1" x14ac:dyDescent="0.3">
      <c r="F67" s="208" t="s">
        <v>66</v>
      </c>
      <c r="G67" s="221">
        <f t="shared" si="9"/>
        <v>0</v>
      </c>
      <c r="H67" s="220">
        <f t="shared" si="10"/>
        <v>0</v>
      </c>
    </row>
    <row r="68" spans="2:10" ht="20" customHeight="1" x14ac:dyDescent="0.3">
      <c r="F68" s="208" t="s">
        <v>67</v>
      </c>
      <c r="G68" s="221">
        <f t="shared" si="9"/>
        <v>0</v>
      </c>
      <c r="H68" s="220">
        <f t="shared" si="10"/>
        <v>0</v>
      </c>
    </row>
    <row r="69" spans="2:10" ht="20" customHeight="1" x14ac:dyDescent="0.3">
      <c r="F69" s="208" t="s">
        <v>68</v>
      </c>
      <c r="G69" s="221">
        <f t="shared" si="9"/>
        <v>0</v>
      </c>
      <c r="H69" s="220">
        <f t="shared" si="10"/>
        <v>0</v>
      </c>
    </row>
    <row r="70" spans="2:10" ht="20" customHeight="1" x14ac:dyDescent="0.3">
      <c r="F70" s="208" t="s">
        <v>69</v>
      </c>
      <c r="G70" s="221">
        <f t="shared" si="9"/>
        <v>0</v>
      </c>
      <c r="H70" s="220">
        <f t="shared" si="10"/>
        <v>0</v>
      </c>
    </row>
    <row r="71" spans="2:10" ht="20" customHeight="1" x14ac:dyDescent="0.3">
      <c r="F71" s="208" t="s">
        <v>70</v>
      </c>
      <c r="G71" s="221">
        <f t="shared" si="9"/>
        <v>0</v>
      </c>
      <c r="H71" s="220">
        <f t="shared" si="10"/>
        <v>0</v>
      </c>
    </row>
    <row r="72" spans="2:10" ht="20" customHeight="1" x14ac:dyDescent="0.3">
      <c r="F72" s="208" t="s">
        <v>146</v>
      </c>
      <c r="G72" s="223">
        <f>+SUM(G66:G71)</f>
        <v>0</v>
      </c>
      <c r="H72" s="220" t="e">
        <f>+G72/($G$62*$D$61)</f>
        <v>#DIV/0!</v>
      </c>
    </row>
    <row r="73" spans="2:10" ht="13.5" thickBot="1" x14ac:dyDescent="0.35"/>
    <row r="74" spans="2:10" ht="30" customHeight="1" thickBot="1" x14ac:dyDescent="0.35">
      <c r="B74" s="191"/>
      <c r="C74" s="446" t="s">
        <v>107</v>
      </c>
      <c r="D74" s="446"/>
      <c r="E74" s="192"/>
      <c r="F74" s="192"/>
      <c r="G74" s="192"/>
      <c r="H74" s="192"/>
      <c r="I74" s="216"/>
      <c r="J74" s="193"/>
    </row>
    <row r="75" spans="2:10" ht="38" customHeight="1" x14ac:dyDescent="0.3">
      <c r="C75" s="208" t="s">
        <v>95</v>
      </c>
      <c r="D75" s="195">
        <f>SUMPRODUCT((LEFT(G21:G35, 5)="Scoop") / (COUNTIF(G21:G35, G21:G35 &amp; "") + (G21:G35="")))</f>
        <v>1</v>
      </c>
      <c r="E75" s="447" t="s">
        <v>90</v>
      </c>
      <c r="F75" s="447"/>
      <c r="G75" s="218">
        <v>0.20833333333333334</v>
      </c>
      <c r="I75" s="139"/>
      <c r="J75" s="190"/>
    </row>
    <row r="76" spans="2:10" ht="38" customHeight="1" x14ac:dyDescent="0.3">
      <c r="C76" s="208" t="s">
        <v>145</v>
      </c>
      <c r="D76" s="195">
        <v>4.9000000000000004</v>
      </c>
      <c r="E76" s="447" t="s">
        <v>97</v>
      </c>
      <c r="F76" s="447"/>
      <c r="G76" s="195">
        <f>15000/(60)</f>
        <v>250</v>
      </c>
      <c r="H76" s="219" t="s">
        <v>23</v>
      </c>
      <c r="I76" s="139"/>
      <c r="J76" s="190"/>
    </row>
    <row r="77" spans="2:10" ht="38" customHeight="1" x14ac:dyDescent="0.3">
      <c r="E77" s="448" t="s">
        <v>98</v>
      </c>
      <c r="F77" s="448"/>
      <c r="G77" s="207">
        <f>+SUM(SUMIF($G$21:$G$35, "Scoop*", $J$21:$J$35))/SUMPRODUCT((LEFT(G21:G35, 5)="Scoop") / (COUNTIF(G21:G35, G21:G35 &amp; "") + (G21:G35="")))</f>
        <v>0.12500000000000006</v>
      </c>
      <c r="H77" s="220">
        <f>+G77*24/($G$75*24)</f>
        <v>0.60000000000000031</v>
      </c>
      <c r="I77" s="190"/>
      <c r="J77" s="190"/>
    </row>
    <row r="78" spans="2:10" ht="38" customHeight="1" x14ac:dyDescent="0.3">
      <c r="E78" s="448" t="s">
        <v>99</v>
      </c>
      <c r="F78" s="448"/>
      <c r="G78" s="221">
        <f>+SUM(W21:W35)*D76/D75</f>
        <v>0</v>
      </c>
      <c r="H78" s="220">
        <f>+G78/G76</f>
        <v>0</v>
      </c>
      <c r="I78" s="190"/>
      <c r="J78" s="190"/>
    </row>
    <row r="79" spans="2:10" ht="38" customHeight="1" x14ac:dyDescent="0.3">
      <c r="G79" s="222" t="s">
        <v>96</v>
      </c>
      <c r="H79" s="139" t="s">
        <v>23</v>
      </c>
    </row>
    <row r="80" spans="2:10" ht="20" customHeight="1" x14ac:dyDescent="0.3">
      <c r="F80" s="208" t="s">
        <v>71</v>
      </c>
      <c r="G80" s="221">
        <f t="shared" ref="G80:G85" si="11" xml:space="preserve"> SUMIF($G$21:$G$35, +F80,$W$21:$W$35)*$D$76</f>
        <v>0</v>
      </c>
      <c r="H80" s="220">
        <f>+G80/$G$76</f>
        <v>0</v>
      </c>
    </row>
    <row r="81" spans="2:10" ht="20" customHeight="1" x14ac:dyDescent="0.3">
      <c r="F81" s="208" t="s">
        <v>72</v>
      </c>
      <c r="G81" s="221">
        <f t="shared" si="11"/>
        <v>0</v>
      </c>
      <c r="H81" s="220">
        <f t="shared" ref="H81:H86" si="12">+G81/$G$76</f>
        <v>0</v>
      </c>
    </row>
    <row r="82" spans="2:10" ht="20" customHeight="1" x14ac:dyDescent="0.3">
      <c r="F82" s="208" t="s">
        <v>73</v>
      </c>
      <c r="G82" s="221">
        <f t="shared" si="11"/>
        <v>0</v>
      </c>
      <c r="H82" s="220">
        <f t="shared" si="12"/>
        <v>0</v>
      </c>
    </row>
    <row r="83" spans="2:10" ht="20" customHeight="1" x14ac:dyDescent="0.3">
      <c r="F83" s="208" t="s">
        <v>74</v>
      </c>
      <c r="G83" s="221">
        <f t="shared" si="11"/>
        <v>0</v>
      </c>
      <c r="H83" s="220">
        <f t="shared" si="12"/>
        <v>0</v>
      </c>
    </row>
    <row r="84" spans="2:10" ht="20" customHeight="1" x14ac:dyDescent="0.3">
      <c r="F84" s="208" t="s">
        <v>75</v>
      </c>
      <c r="G84" s="221">
        <f t="shared" si="11"/>
        <v>0</v>
      </c>
      <c r="H84" s="220">
        <f t="shared" si="12"/>
        <v>0</v>
      </c>
    </row>
    <row r="85" spans="2:10" ht="20" customHeight="1" x14ac:dyDescent="0.3">
      <c r="F85" s="208" t="s">
        <v>76</v>
      </c>
      <c r="G85" s="221">
        <f t="shared" si="11"/>
        <v>0</v>
      </c>
      <c r="H85" s="220">
        <f t="shared" si="12"/>
        <v>0</v>
      </c>
    </row>
    <row r="86" spans="2:10" ht="20" customHeight="1" x14ac:dyDescent="0.3">
      <c r="F86" s="208" t="s">
        <v>146</v>
      </c>
      <c r="G86" s="223">
        <f>+SUM(G80:G85)</f>
        <v>0</v>
      </c>
      <c r="H86" s="220">
        <f t="shared" si="12"/>
        <v>0</v>
      </c>
    </row>
    <row r="87" spans="2:10" ht="13.5" thickBot="1" x14ac:dyDescent="0.35"/>
    <row r="88" spans="2:10" ht="30" customHeight="1" thickBot="1" x14ac:dyDescent="0.35">
      <c r="B88" s="191"/>
      <c r="C88" s="446" t="s">
        <v>149</v>
      </c>
      <c r="D88" s="446"/>
      <c r="E88" s="192"/>
      <c r="F88" s="192"/>
      <c r="G88" s="192"/>
      <c r="H88" s="192"/>
      <c r="I88" s="216"/>
      <c r="J88" s="193"/>
    </row>
    <row r="89" spans="2:10" ht="25.25" customHeight="1" x14ac:dyDescent="0.3">
      <c r="C89" s="208" t="s">
        <v>150</v>
      </c>
      <c r="D89" s="195">
        <f>SUMPRODUCT((LEFT(G21:G35, 8)="Roboshot") / (COUNTIF(G21:G35, G21:G35 &amp; "") + (G21:G35="")))</f>
        <v>0</v>
      </c>
      <c r="E89" s="447" t="s">
        <v>90</v>
      </c>
      <c r="F89" s="447"/>
      <c r="G89" s="218">
        <v>0.20833333333333334</v>
      </c>
    </row>
    <row r="90" spans="2:10" x14ac:dyDescent="0.3">
      <c r="C90" s="208"/>
      <c r="D90" s="195"/>
      <c r="E90" s="447" t="s">
        <v>97</v>
      </c>
      <c r="F90" s="447"/>
      <c r="G90" s="195">
        <v>12</v>
      </c>
      <c r="H90" s="219" t="s">
        <v>23</v>
      </c>
    </row>
    <row r="92" spans="2:10" x14ac:dyDescent="0.3">
      <c r="G92" s="222" t="s">
        <v>96</v>
      </c>
      <c r="H92" s="139" t="s">
        <v>23</v>
      </c>
    </row>
    <row r="93" spans="2:10" x14ac:dyDescent="0.3">
      <c r="F93" s="208" t="s">
        <v>77</v>
      </c>
      <c r="G93" s="221">
        <f xml:space="preserve"> SUMIF($G$21:$G$35, +F93,$X$21:$X$35)</f>
        <v>0</v>
      </c>
      <c r="H93" s="220">
        <f>+G93/$G$90</f>
        <v>0</v>
      </c>
    </row>
    <row r="94" spans="2:10" x14ac:dyDescent="0.3">
      <c r="F94" s="208" t="s">
        <v>78</v>
      </c>
      <c r="G94" s="221">
        <f xml:space="preserve"> SUMIF($G$21:$G$35, +F94,$X$21:$X$35)</f>
        <v>0</v>
      </c>
      <c r="H94" s="220">
        <f t="shared" ref="H94:H95" si="13">+G94/$G$90</f>
        <v>0</v>
      </c>
    </row>
    <row r="95" spans="2:10" x14ac:dyDescent="0.3">
      <c r="F95" s="208" t="s">
        <v>79</v>
      </c>
      <c r="G95" s="221">
        <f xml:space="preserve"> SUMIF($G$21:$G$35, +F95,$X$21:$X$35)</f>
        <v>0</v>
      </c>
      <c r="H95" s="220">
        <f t="shared" si="13"/>
        <v>0</v>
      </c>
    </row>
    <row r="96" spans="2:10" x14ac:dyDescent="0.3">
      <c r="F96" s="208" t="s">
        <v>146</v>
      </c>
      <c r="G96" s="223">
        <f>+SUM(G93:G95)</f>
        <v>0</v>
      </c>
      <c r="H96" s="220">
        <f>+G96/$G$90</f>
        <v>0</v>
      </c>
    </row>
  </sheetData>
  <mergeCells count="41">
    <mergeCell ref="E47:G47"/>
    <mergeCell ref="K8:L8"/>
    <mergeCell ref="B1:D4"/>
    <mergeCell ref="E2:R2"/>
    <mergeCell ref="E3:R4"/>
    <mergeCell ref="K6:L6"/>
    <mergeCell ref="K7:L7"/>
    <mergeCell ref="E55:G55"/>
    <mergeCell ref="E56:G56"/>
    <mergeCell ref="E48:G48"/>
    <mergeCell ref="K9:L9"/>
    <mergeCell ref="K10:L10"/>
    <mergeCell ref="K11:L11"/>
    <mergeCell ref="K12:L12"/>
    <mergeCell ref="B14:S14"/>
    <mergeCell ref="C40:D40"/>
    <mergeCell ref="G40:H40"/>
    <mergeCell ref="I40:J40"/>
    <mergeCell ref="K40:L40"/>
    <mergeCell ref="E41:F41"/>
    <mergeCell ref="E42:F42"/>
    <mergeCell ref="E43:F43"/>
    <mergeCell ref="E46:G46"/>
    <mergeCell ref="E49:G49"/>
    <mergeCell ref="E50:G50"/>
    <mergeCell ref="E51:G51"/>
    <mergeCell ref="E52:G52"/>
    <mergeCell ref="E54:G54"/>
    <mergeCell ref="C60:D60"/>
    <mergeCell ref="E61:F61"/>
    <mergeCell ref="E62:F62"/>
    <mergeCell ref="E63:F63"/>
    <mergeCell ref="E89:F89"/>
    <mergeCell ref="E64:F64"/>
    <mergeCell ref="E90:F90"/>
    <mergeCell ref="C74:D74"/>
    <mergeCell ref="E75:F75"/>
    <mergeCell ref="E76:F76"/>
    <mergeCell ref="E77:F77"/>
    <mergeCell ref="E78:F78"/>
    <mergeCell ref="C88:D88"/>
  </mergeCells>
  <conditionalFormatting sqref="H42:H43 J42:J43">
    <cfRule type="cellIs" dxfId="335" priority="13" operator="greaterThan">
      <formula>0.9</formula>
    </cfRule>
    <cfRule type="cellIs" dxfId="334" priority="14" operator="between">
      <formula>0.81</formula>
      <formula>0.89</formula>
    </cfRule>
    <cfRule type="cellIs" dxfId="333" priority="15" operator="lessThan">
      <formula>0.8</formula>
    </cfRule>
  </conditionalFormatting>
  <conditionalFormatting sqref="H63:H64">
    <cfRule type="cellIs" dxfId="332" priority="16" operator="greaterThan">
      <formula>0.9</formula>
    </cfRule>
    <cfRule type="cellIs" dxfId="331" priority="17" operator="between">
      <formula>0.81</formula>
      <formula>0.89</formula>
    </cfRule>
    <cfRule type="cellIs" dxfId="330" priority="18" operator="lessThan">
      <formula>0.8</formula>
    </cfRule>
  </conditionalFormatting>
  <conditionalFormatting sqref="H66:H72">
    <cfRule type="cellIs" dxfId="329" priority="19" operator="greaterThan">
      <formula>0.9</formula>
    </cfRule>
    <cfRule type="cellIs" dxfId="328" priority="20" operator="between">
      <formula>0.81</formula>
      <formula>0.89</formula>
    </cfRule>
    <cfRule type="cellIs" dxfId="327" priority="21" operator="lessThan">
      <formula>0.8</formula>
    </cfRule>
  </conditionalFormatting>
  <conditionalFormatting sqref="H77:H78">
    <cfRule type="cellIs" dxfId="326" priority="7" operator="greaterThan">
      <formula>0.9</formula>
    </cfRule>
    <cfRule type="cellIs" dxfId="325" priority="8" operator="between">
      <formula>0.81</formula>
      <formula>0.89</formula>
    </cfRule>
    <cfRule type="cellIs" dxfId="324" priority="9" operator="lessThan">
      <formula>0.8</formula>
    </cfRule>
  </conditionalFormatting>
  <conditionalFormatting sqref="H80:H86">
    <cfRule type="cellIs" dxfId="323" priority="10" operator="greaterThan">
      <formula>0.9</formula>
    </cfRule>
    <cfRule type="cellIs" dxfId="322" priority="11" operator="between">
      <formula>0.81</formula>
      <formula>0.89</formula>
    </cfRule>
    <cfRule type="cellIs" dxfId="321" priority="12" operator="lessThan">
      <formula>0.8</formula>
    </cfRule>
  </conditionalFormatting>
  <conditionalFormatting sqref="H93:H96">
    <cfRule type="cellIs" dxfId="320" priority="4" operator="greaterThan">
      <formula>0.9</formula>
    </cfRule>
    <cfRule type="cellIs" dxfId="319" priority="5" operator="between">
      <formula>0.81</formula>
      <formula>0.89</formula>
    </cfRule>
    <cfRule type="cellIs" dxfId="318" priority="6" operator="lessThan">
      <formula>0.8</formula>
    </cfRule>
  </conditionalFormatting>
  <conditionalFormatting sqref="L42:L43">
    <cfRule type="cellIs" dxfId="317" priority="1" operator="greaterThan">
      <formula>0.9</formula>
    </cfRule>
    <cfRule type="cellIs" dxfId="316" priority="2" operator="between">
      <formula>0.81</formula>
      <formula>0.89</formula>
    </cfRule>
    <cfRule type="cellIs" dxfId="315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9983542-5426-4B88-BA19-283236072493}">
          <x14:formula1>
            <xm:f>Datos!$B$3:$B$8</xm:f>
          </x14:formula1>
          <xm:sqref>E30:E38 E21:E27</xm:sqref>
        </x14:dataValidation>
        <x14:dataValidation type="list" allowBlank="1" showInputMessage="1" showErrorMessage="1" xr:uid="{066179C3-257A-4293-BFD6-E62310649DA7}">
          <x14:formula1>
            <xm:f>Datos!$D$3:$D$27</xm:f>
          </x14:formula1>
          <xm:sqref>F30:F38 F21:F27</xm:sqref>
        </x14:dataValidation>
        <x14:dataValidation type="list" allowBlank="1" showInputMessage="1" showErrorMessage="1" xr:uid="{5AEB3EAB-1E09-4A61-AF44-ABFD8464BAE7}">
          <x14:formula1>
            <xm:f>Datos!$W$3:$W$12</xm:f>
          </x14:formula1>
          <xm:sqref>L30:L38 L21:L27</xm:sqref>
        </x14:dataValidation>
        <x14:dataValidation type="list" allowBlank="1" showInputMessage="1" showErrorMessage="1" xr:uid="{978D222A-E47D-4D1A-A87B-B22B3A8A9E20}">
          <x14:formula1>
            <xm:f>Datos!$F$3:$F$41</xm:f>
          </x14:formula1>
          <xm:sqref>G30:G38 G21:G27</xm:sqref>
        </x14:dataValidation>
        <x14:dataValidation type="list" allowBlank="1" showInputMessage="1" showErrorMessage="1" xr:uid="{19DC240A-7818-4CEC-BCF1-0FC5DE425559}">
          <x14:formula1>
            <xm:f>Datos!$H$3:$H$26</xm:f>
          </x14:formula1>
          <xm:sqref>D27 D38</xm:sqref>
        </x14:dataValidation>
        <x14:dataValidation type="list" allowBlank="1" showInputMessage="1" showErrorMessage="1" xr:uid="{DF7990A3-8B6A-4699-B9EC-207212130397}">
          <x14:formula1>
            <xm:f>Datos!$H$3:$H$34</xm:f>
          </x14:formula1>
          <xm:sqref>D30:D37 D21:D26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930A-272A-47F0-9965-5AE9D912A357}">
  <sheetPr>
    <pageSetUpPr fitToPage="1"/>
  </sheetPr>
  <dimension ref="B1:X94"/>
  <sheetViews>
    <sheetView showGridLines="0" topLeftCell="A19" zoomScaleNormal="100" zoomScaleSheetLayoutView="50" workbookViewId="0">
      <pane xSplit="3" ySplit="2" topLeftCell="D33" activePane="bottomRight" state="frozen"/>
      <selection activeCell="K27" sqref="K27"/>
      <selection pane="topRight" activeCell="K27" sqref="K27"/>
      <selection pane="bottomLeft" activeCell="K27" sqref="K27"/>
      <selection pane="bottomRight" activeCell="K26" sqref="K26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3.90625" style="134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+G40</f>
        <v>0.21249999999999997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+H41</f>
        <v>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+G70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+G84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+G94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110</v>
      </c>
      <c r="E21" s="172" t="s">
        <v>6</v>
      </c>
      <c r="F21" s="172" t="s">
        <v>165</v>
      </c>
      <c r="G21" s="172"/>
      <c r="H21" s="174">
        <v>0.82986111111111116</v>
      </c>
      <c r="I21" s="174">
        <v>0.93055555555555558</v>
      </c>
      <c r="J21" s="175">
        <f t="shared" ref="J21:J23" si="0">MOD(I21-H21, 1)</f>
        <v>0.10069444444444442</v>
      </c>
      <c r="K21" s="178"/>
      <c r="L21" s="177"/>
      <c r="M21" s="178"/>
      <c r="N21" s="179">
        <v>1</v>
      </c>
      <c r="O21" s="186" t="s">
        <v>460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114</v>
      </c>
      <c r="E22" s="172" t="s">
        <v>6</v>
      </c>
      <c r="F22" s="172" t="s">
        <v>165</v>
      </c>
      <c r="G22" s="172"/>
      <c r="H22" s="174">
        <v>0.93055555555555558</v>
      </c>
      <c r="I22" s="174">
        <v>0.99513888888888891</v>
      </c>
      <c r="J22" s="175">
        <f t="shared" si="0"/>
        <v>6.4583333333333326E-2</v>
      </c>
      <c r="K22" s="178">
        <v>25</v>
      </c>
      <c r="L22" s="177"/>
      <c r="M22" s="178"/>
      <c r="N22" s="179">
        <v>1</v>
      </c>
      <c r="O22" s="186" t="s">
        <v>468</v>
      </c>
      <c r="P22" s="181"/>
      <c r="Q22" s="174"/>
      <c r="R22" s="172"/>
      <c r="S22" s="175">
        <f t="shared" ref="S22:S25" si="1">+MOD(R22-Q22,1)</f>
        <v>0</v>
      </c>
      <c r="U22" s="182">
        <f>+IFERROR(VLOOKUP(D22,Datos!$R$3:$T$19,3,FALSE), "0")*N22</f>
        <v>3.5367940673131766E-2</v>
      </c>
      <c r="V22" s="183" t="str">
        <f t="shared" ref="V22:V25" si="2">IF(OR(D22="Perforación de Fortificación", D22="Perforación de Avance", D22="Perforación Desquinche"), K22*M22, "")</f>
        <v/>
      </c>
      <c r="W22" s="183" t="str">
        <f t="shared" ref="W22:W25" si="3">IF(D22="Extracción de Marina Disparo",K22,"")</f>
        <v/>
      </c>
      <c r="X22" s="183" t="str">
        <f t="shared" ref="X22:X25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114</v>
      </c>
      <c r="E23" s="172" t="s">
        <v>6</v>
      </c>
      <c r="F23" s="172" t="s">
        <v>165</v>
      </c>
      <c r="G23" s="172" t="s">
        <v>203</v>
      </c>
      <c r="H23" s="174">
        <v>1.5277777777777777E-2</v>
      </c>
      <c r="I23" s="174">
        <v>6.25E-2</v>
      </c>
      <c r="J23" s="175">
        <f t="shared" si="0"/>
        <v>4.7222222222222221E-2</v>
      </c>
      <c r="K23" s="178">
        <v>16</v>
      </c>
      <c r="L23" s="177" t="s">
        <v>138</v>
      </c>
      <c r="M23" s="178">
        <v>1.8</v>
      </c>
      <c r="N23" s="179">
        <v>1</v>
      </c>
      <c r="O23" s="186" t="s">
        <v>469</v>
      </c>
      <c r="P23" s="181"/>
      <c r="Q23" s="174"/>
      <c r="R23" s="172"/>
      <c r="S23" s="175">
        <f t="shared" si="1"/>
        <v>0</v>
      </c>
      <c r="U23" s="182">
        <f>+IFERROR(VLOOKUP(D23,Datos!$R$3:$T$19,3,FALSE), "0")*N23</f>
        <v>3.5367940673131766E-2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114</v>
      </c>
      <c r="E24" s="172" t="s">
        <v>6</v>
      </c>
      <c r="F24" s="172" t="s">
        <v>165</v>
      </c>
      <c r="G24" s="172" t="s">
        <v>212</v>
      </c>
      <c r="H24" s="174">
        <v>7.9861111111111105E-2</v>
      </c>
      <c r="I24" s="174">
        <v>0.18055555555555555</v>
      </c>
      <c r="J24" s="175">
        <f t="shared" ref="J24" si="5">MOD(I24-H24, 1)</f>
        <v>0.10069444444444445</v>
      </c>
      <c r="K24" s="178">
        <v>16</v>
      </c>
      <c r="L24" s="177" t="s">
        <v>125</v>
      </c>
      <c r="M24" s="178">
        <v>1.8</v>
      </c>
      <c r="N24" s="179">
        <v>1</v>
      </c>
      <c r="O24" s="186" t="s">
        <v>470</v>
      </c>
      <c r="P24" s="181"/>
      <c r="Q24" s="174"/>
      <c r="R24" s="172"/>
      <c r="S24" s="175">
        <f t="shared" ref="S24" si="6">+MOD(R24-Q24,1)</f>
        <v>0</v>
      </c>
      <c r="U24" s="182">
        <f>+IFERROR(VLOOKUP(D24,Datos!$R$3:$T$19,3,FALSE), "0")*N24</f>
        <v>3.5367940673131766E-2</v>
      </c>
      <c r="V24" s="183" t="str">
        <f t="shared" ref="V24" si="7">IF(OR(D24="Perforación de Fortificación", D24="Perforación de Avance", D24="Perforación Desquinche"), K24*M24, "")</f>
        <v/>
      </c>
      <c r="W24" s="183" t="str">
        <f t="shared" ref="W24" si="8">IF(D24="Extracción de Marina Disparo",K24,"")</f>
        <v/>
      </c>
      <c r="X24" s="183" t="str">
        <f t="shared" ref="X24" si="9">IF(OR(D24="Shotcrete", D24="Pre Shotcrete"), K24, "")</f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 t="s">
        <v>329</v>
      </c>
      <c r="J25" s="175">
        <f>MOD(I24-H21, 1)</f>
        <v>0.35069444444444442</v>
      </c>
      <c r="K25" s="178"/>
      <c r="L25" s="177"/>
      <c r="M25" s="178"/>
      <c r="N25" s="179"/>
      <c r="O25" s="186" t="s">
        <v>436</v>
      </c>
      <c r="P25" s="172"/>
      <c r="Q25" s="172"/>
      <c r="R25" s="172"/>
      <c r="S25" s="175">
        <f t="shared" si="1"/>
        <v>0</v>
      </c>
      <c r="U25" s="182">
        <f>SUM(U21:U23)</f>
        <v>7.0735881346263532E-2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x14ac:dyDescent="0.3">
      <c r="B26" s="185" t="s">
        <v>158</v>
      </c>
      <c r="C26" s="63" t="s">
        <v>194</v>
      </c>
      <c r="D26" s="63"/>
      <c r="E26" s="63"/>
      <c r="F26" s="63"/>
      <c r="G26" s="63"/>
      <c r="H26" s="63"/>
      <c r="I26" s="63"/>
      <c r="J26" s="64"/>
      <c r="K26" s="64"/>
      <c r="L26" s="171"/>
      <c r="M26" s="63"/>
      <c r="N26" s="64"/>
      <c r="O26" s="64"/>
      <c r="P26" s="63"/>
      <c r="Q26" s="63"/>
      <c r="R26" s="63"/>
      <c r="S26" s="64"/>
      <c r="U26" s="63"/>
      <c r="V26" s="64"/>
      <c r="W26" s="64"/>
      <c r="X26" s="64"/>
    </row>
    <row r="27" spans="2:24" ht="52" x14ac:dyDescent="0.3">
      <c r="B27" s="63" t="s">
        <v>3</v>
      </c>
      <c r="C27" s="63" t="s">
        <v>2</v>
      </c>
      <c r="D27" s="63" t="s">
        <v>5</v>
      </c>
      <c r="E27" s="63" t="s">
        <v>22</v>
      </c>
      <c r="F27" s="63" t="s">
        <v>139</v>
      </c>
      <c r="G27" s="63" t="s">
        <v>29</v>
      </c>
      <c r="H27" s="63" t="s">
        <v>121</v>
      </c>
      <c r="I27" s="63" t="s">
        <v>4</v>
      </c>
      <c r="J27" s="64" t="s">
        <v>122</v>
      </c>
      <c r="K27" s="64" t="s">
        <v>131</v>
      </c>
      <c r="L27" s="171" t="s">
        <v>123</v>
      </c>
      <c r="M27" s="63" t="s">
        <v>134</v>
      </c>
      <c r="N27" s="64" t="s">
        <v>24</v>
      </c>
      <c r="O27" s="64" t="s">
        <v>130</v>
      </c>
      <c r="P27" s="63" t="s">
        <v>132</v>
      </c>
      <c r="Q27" s="63" t="s">
        <v>121</v>
      </c>
      <c r="R27" s="63" t="s">
        <v>4</v>
      </c>
      <c r="S27" s="64" t="s">
        <v>137</v>
      </c>
      <c r="U27" s="63" t="s">
        <v>109</v>
      </c>
      <c r="V27" s="64" t="s">
        <v>87</v>
      </c>
      <c r="W27" s="64" t="s">
        <v>128</v>
      </c>
      <c r="X27" s="64" t="s">
        <v>128</v>
      </c>
    </row>
    <row r="28" spans="2:24" ht="38" customHeight="1" x14ac:dyDescent="0.3">
      <c r="B28" s="172">
        <v>3700</v>
      </c>
      <c r="C28" s="173" t="str">
        <f>+Datos!$R$23</f>
        <v>Ciclo Minero 5,2 x 5,6 m
Galería Acceso Portal de Servicio</v>
      </c>
      <c r="D28" s="173" t="s">
        <v>110</v>
      </c>
      <c r="E28" s="172" t="s">
        <v>6</v>
      </c>
      <c r="F28" s="172" t="s">
        <v>166</v>
      </c>
      <c r="G28" s="172"/>
      <c r="H28" s="174">
        <v>0.83333333333333337</v>
      </c>
      <c r="I28" s="174">
        <v>1.3333333333333333</v>
      </c>
      <c r="J28" s="175">
        <f>I28-H28</f>
        <v>0.49999999999999989</v>
      </c>
      <c r="K28" s="178"/>
      <c r="L28" s="177"/>
      <c r="M28" s="178"/>
      <c r="N28" s="179">
        <v>1</v>
      </c>
      <c r="O28" s="186" t="s">
        <v>428</v>
      </c>
      <c r="P28" s="225"/>
      <c r="Q28" s="174"/>
      <c r="R28" s="174"/>
      <c r="S28" s="175"/>
      <c r="U28" s="187">
        <f>+IFERROR(VLOOKUP(D28,Datos!$R$24:$T$40,3,FALSE), "0")*N28</f>
        <v>0</v>
      </c>
      <c r="V28" s="183" t="str">
        <f t="shared" ref="V28:V36" si="10">IF(OR(D28="Perforación de Fortificación", D28="Perforación de Avance", D28="Perforación Desquinche"), K28*M28, "")</f>
        <v/>
      </c>
      <c r="W28" s="183" t="str">
        <f>IF(D28="Extracción de Marina Disparo",K28,"")</f>
        <v/>
      </c>
      <c r="X28" s="183" t="str">
        <f t="shared" ref="X28:X36" si="11">IF(OR(D28="Shotcrete", D28="Pre Shotcrete"), K28, "")</f>
        <v/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/>
      <c r="E29" s="172"/>
      <c r="F29" s="172"/>
      <c r="G29" s="172"/>
      <c r="H29" s="174"/>
      <c r="I29" s="174"/>
      <c r="J29" s="175"/>
      <c r="K29" s="178"/>
      <c r="L29" s="177"/>
      <c r="M29" s="178"/>
      <c r="N29" s="179"/>
      <c r="O29" s="225"/>
      <c r="P29" s="173"/>
      <c r="Q29" s="174"/>
      <c r="R29" s="174"/>
      <c r="S29" s="175"/>
      <c r="U29" s="187">
        <f>+IFERROR(VLOOKUP(D29,Datos!$R$24:$T$40,3,FALSE), "0")*N29</f>
        <v>0</v>
      </c>
      <c r="V29" s="183" t="str">
        <f t="shared" si="10"/>
        <v/>
      </c>
      <c r="W29" s="183" t="str">
        <f>IF(D29="Extracción de Marina Disparo",K29,"")</f>
        <v/>
      </c>
      <c r="X29" s="183" t="str">
        <f t="shared" si="11"/>
        <v/>
      </c>
    </row>
    <row r="30" spans="2:24" ht="53.4" customHeight="1" x14ac:dyDescent="0.3">
      <c r="B30" s="172">
        <v>3700</v>
      </c>
      <c r="C30" s="173" t="str">
        <f>+C28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81"/>
      <c r="Q30" s="174"/>
      <c r="R30" s="174"/>
      <c r="S30" s="175"/>
      <c r="U30" s="187">
        <f>+IFERROR(VLOOKUP(D30,Datos!$R$24:$T$40,3,FALSE), "0")*N30</f>
        <v>0</v>
      </c>
      <c r="V30" s="183" t="str">
        <f t="shared" si="10"/>
        <v/>
      </c>
      <c r="W30" s="183" t="str">
        <f t="shared" ref="W30:W36" si="12">IF(D30="Extracción de Marina Disparo",K30,"")</f>
        <v/>
      </c>
      <c r="X30" s="183" t="str">
        <f t="shared" si="11"/>
        <v/>
      </c>
    </row>
    <row r="31" spans="2:24" ht="38" customHeight="1" x14ac:dyDescent="0.3">
      <c r="B31" s="172">
        <v>3700</v>
      </c>
      <c r="C31" s="173" t="s">
        <v>397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186"/>
      <c r="P31" s="172"/>
      <c r="Q31" s="172"/>
      <c r="R31" s="172"/>
      <c r="S31" s="175"/>
      <c r="U31" s="187">
        <f>+IFERROR(VLOOKUP(D31,Datos!$R$24:$T$40,3,FALSE), "0")*N31</f>
        <v>0</v>
      </c>
      <c r="V31" s="183" t="str">
        <f t="shared" si="10"/>
        <v/>
      </c>
      <c r="W31" s="183" t="str">
        <f t="shared" si="12"/>
        <v/>
      </c>
      <c r="X31" s="183"/>
    </row>
    <row r="32" spans="2:24" ht="38" customHeight="1" x14ac:dyDescent="0.3">
      <c r="B32" s="172">
        <v>3700</v>
      </c>
      <c r="C32" s="173" t="str">
        <f>+C31</f>
        <v>Fróntón Bodega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10"/>
        <v/>
      </c>
      <c r="W32" s="183" t="str">
        <f t="shared" si="12"/>
        <v/>
      </c>
      <c r="X32" s="183" t="str">
        <f t="shared" si="11"/>
        <v/>
      </c>
    </row>
    <row r="33" spans="2:24" ht="38" customHeight="1" x14ac:dyDescent="0.3">
      <c r="B33" s="172"/>
      <c r="C33" s="173"/>
      <c r="D33" s="173"/>
      <c r="E33" s="172"/>
      <c r="F33" s="172"/>
      <c r="G33" s="172"/>
      <c r="H33" s="174"/>
      <c r="I33" s="174"/>
      <c r="J33" s="175">
        <f>MOD(I33-H33, 1)</f>
        <v>0</v>
      </c>
      <c r="K33" s="178"/>
      <c r="L33" s="177"/>
      <c r="M33" s="178"/>
      <c r="N33" s="179"/>
      <c r="O33" s="225"/>
      <c r="P33" s="172"/>
      <c r="Q33" s="172"/>
      <c r="R33" s="172"/>
      <c r="S33" s="175">
        <f t="shared" ref="S33:S36" si="13">+MOD(R33-Q33,1)</f>
        <v>0</v>
      </c>
      <c r="U33" s="187">
        <f>+IFERROR(VLOOKUP(D33,Datos!$R$24:$T$40,3,FALSE), "0")*N33</f>
        <v>0</v>
      </c>
      <c r="V33" s="183" t="str">
        <f t="shared" si="10"/>
        <v/>
      </c>
      <c r="W33" s="183" t="str">
        <f t="shared" si="12"/>
        <v/>
      </c>
      <c r="X33" s="183" t="str">
        <f t="shared" si="11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186"/>
      <c r="P34" s="172"/>
      <c r="Q34" s="172"/>
      <c r="R34" s="172"/>
      <c r="S34" s="175">
        <f t="shared" si="13"/>
        <v>0</v>
      </c>
      <c r="U34" s="187"/>
      <c r="V34" s="183" t="str">
        <f t="shared" si="10"/>
        <v/>
      </c>
      <c r="W34" s="183" t="str">
        <f t="shared" si="12"/>
        <v/>
      </c>
      <c r="X34" s="183" t="str">
        <f t="shared" si="11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13"/>
        <v>0</v>
      </c>
      <c r="U35" s="187"/>
      <c r="V35" s="183" t="str">
        <f t="shared" si="10"/>
        <v/>
      </c>
      <c r="W35" s="183" t="str">
        <f t="shared" si="12"/>
        <v/>
      </c>
      <c r="X35" s="183" t="str">
        <f t="shared" si="11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 t="s">
        <v>329</v>
      </c>
      <c r="J36" s="175"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13"/>
        <v>0</v>
      </c>
      <c r="U36" s="182">
        <f>SUM(U28:U35)</f>
        <v>0</v>
      </c>
      <c r="V36" s="183" t="str">
        <f t="shared" si="10"/>
        <v/>
      </c>
      <c r="W36" s="183" t="str">
        <f t="shared" si="12"/>
        <v/>
      </c>
      <c r="X36" s="183" t="str">
        <f t="shared" si="11"/>
        <v/>
      </c>
    </row>
    <row r="37" spans="2:24" ht="15.65" customHeight="1" thickBot="1" x14ac:dyDescent="0.35">
      <c r="B37" s="190"/>
      <c r="C37" s="190"/>
      <c r="D37" s="190"/>
      <c r="E37" s="190"/>
      <c r="F37" s="190"/>
      <c r="G37" s="190"/>
      <c r="H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</row>
    <row r="38" spans="2:24" ht="30" customHeight="1" thickBot="1" x14ac:dyDescent="0.35">
      <c r="B38" s="191"/>
      <c r="C38" s="446" t="s">
        <v>64</v>
      </c>
      <c r="D38" s="446"/>
      <c r="E38" s="192"/>
      <c r="F38" s="192"/>
      <c r="G38" s="431">
        <v>3500</v>
      </c>
      <c r="H38" s="432"/>
      <c r="I38" s="431">
        <v>3700</v>
      </c>
      <c r="J38" s="432"/>
      <c r="K38" s="433" t="s">
        <v>146</v>
      </c>
      <c r="L38" s="434"/>
      <c r="M38" s="190"/>
      <c r="N38" s="190"/>
      <c r="O38" s="190"/>
      <c r="P38" s="190"/>
      <c r="Q38" s="190"/>
      <c r="R38" s="190"/>
      <c r="S38" s="190"/>
    </row>
    <row r="39" spans="2:24" ht="30" customHeight="1" x14ac:dyDescent="0.3">
      <c r="C39" s="194" t="s">
        <v>48</v>
      </c>
      <c r="D39" s="195">
        <f>SUMPRODUCT((LEFT(F21:F33, 1)="C") / (COUNTIF(F21:F33, F21:F33 &amp; "") + (F21:F33="")))</f>
        <v>0</v>
      </c>
      <c r="E39" s="447" t="s">
        <v>90</v>
      </c>
      <c r="F39" s="447"/>
      <c r="G39" s="196">
        <v>0.26041666666666669</v>
      </c>
      <c r="H39" s="197" t="s">
        <v>23</v>
      </c>
      <c r="I39" s="196">
        <v>0.26041666666666669</v>
      </c>
      <c r="J39" s="197" t="s">
        <v>23</v>
      </c>
      <c r="K39" s="198">
        <f>+G39</f>
        <v>0.26041666666666669</v>
      </c>
      <c r="L39" s="197" t="s">
        <v>23</v>
      </c>
      <c r="M39" s="190"/>
      <c r="N39" s="190"/>
      <c r="O39" s="190"/>
      <c r="P39" s="190"/>
      <c r="Q39" s="190"/>
      <c r="R39" s="190"/>
      <c r="S39" s="190"/>
    </row>
    <row r="40" spans="2:24" x14ac:dyDescent="0.3">
      <c r="C40" s="194" t="s">
        <v>49</v>
      </c>
      <c r="D40" s="195">
        <f>SUMPRODUCT((LEFT(F21:F33, 1)="O") / (COUNTIF(F21:F33, F21:F33 &amp; "") + (F21:F33="")))</f>
        <v>0</v>
      </c>
      <c r="E40" s="448" t="s">
        <v>198</v>
      </c>
      <c r="F40" s="448"/>
      <c r="G40" s="199">
        <f>SUM(J21:J23)</f>
        <v>0.21249999999999997</v>
      </c>
      <c r="H40" s="200">
        <f>+G40*24/($G$39*24)</f>
        <v>0.81599999999999995</v>
      </c>
      <c r="I40" s="199">
        <f>SUM(J28:J33)</f>
        <v>0.49999999999999989</v>
      </c>
      <c r="J40" s="200">
        <f>+I40*24/($I$39*24)</f>
        <v>1.9199999999999995</v>
      </c>
      <c r="K40" s="201">
        <f>AVERAGE(G40+I40)/2</f>
        <v>0.35624999999999996</v>
      </c>
      <c r="L40" s="200">
        <f>+K40*24/($K$39*24)</f>
        <v>1.3679999999999999</v>
      </c>
      <c r="M40" s="190"/>
      <c r="N40" s="190"/>
      <c r="O40" s="190"/>
      <c r="P40" s="190"/>
      <c r="Q40" s="190"/>
      <c r="R40" s="190"/>
      <c r="S40" s="190"/>
    </row>
    <row r="41" spans="2:24" ht="43.25" customHeight="1" thickBot="1" x14ac:dyDescent="0.35">
      <c r="E41" s="448" t="s">
        <v>94</v>
      </c>
      <c r="F41" s="448"/>
      <c r="G41" s="202"/>
      <c r="H41" s="203">
        <f>+AVERAGE(N21:N25)</f>
        <v>1</v>
      </c>
      <c r="I41" s="202"/>
      <c r="J41" s="203">
        <f>+AVERAGE(N28:N33)</f>
        <v>1</v>
      </c>
      <c r="K41" s="204"/>
      <c r="L41" s="203">
        <f>+AVERAGE(N21:N33)</f>
        <v>1</v>
      </c>
    </row>
    <row r="42" spans="2:24" ht="43.25" customHeight="1" x14ac:dyDescent="0.3">
      <c r="E42" s="205"/>
      <c r="F42" s="205"/>
      <c r="G42" s="206"/>
      <c r="H42" s="206"/>
      <c r="I42" s="137"/>
      <c r="J42" s="137"/>
      <c r="K42" s="137"/>
      <c r="L42" s="137"/>
    </row>
    <row r="43" spans="2:24" ht="43.25" customHeight="1" x14ac:dyDescent="0.3">
      <c r="E43" s="194"/>
      <c r="F43" s="194"/>
      <c r="G43" s="207"/>
      <c r="H43" s="208" t="s">
        <v>24</v>
      </c>
      <c r="I43" s="208" t="s">
        <v>199</v>
      </c>
      <c r="J43" s="208" t="s">
        <v>201</v>
      </c>
      <c r="K43" s="208" t="s">
        <v>404</v>
      </c>
      <c r="L43" s="345" t="s">
        <v>484</v>
      </c>
      <c r="M43" s="345" t="s">
        <v>485</v>
      </c>
      <c r="N43" s="208"/>
    </row>
    <row r="44" spans="2:24" ht="14.5" x14ac:dyDescent="0.35">
      <c r="E44" s="445" t="s">
        <v>174</v>
      </c>
      <c r="F44" s="445"/>
      <c r="G44" s="445"/>
      <c r="H44" s="209">
        <f>+U36</f>
        <v>0</v>
      </c>
      <c r="I44" s="298">
        <f>+H44*$J$44*$K$44</f>
        <v>0</v>
      </c>
      <c r="J44" s="298">
        <v>6.6</v>
      </c>
      <c r="K44" s="246">
        <v>3.42</v>
      </c>
      <c r="L44" s="344">
        <v>56.080975609756102</v>
      </c>
      <c r="M44" s="344">
        <f>+L44*K44*H44</f>
        <v>0</v>
      </c>
    </row>
    <row r="45" spans="2:24" ht="14.4" customHeight="1" x14ac:dyDescent="0.35">
      <c r="E45" s="445" t="s">
        <v>224</v>
      </c>
      <c r="F45" s="445"/>
      <c r="G45" s="445"/>
      <c r="H45" s="209"/>
      <c r="I45" s="298">
        <f>+J45*K45</f>
        <v>0</v>
      </c>
      <c r="J45" s="298">
        <f>1892/1000000</f>
        <v>1.892E-3</v>
      </c>
      <c r="K45" s="246">
        <f>+((15*4.4)*2.72)*0</f>
        <v>0</v>
      </c>
      <c r="L45" s="346">
        <v>1.6919982016368774E-2</v>
      </c>
      <c r="M45" s="344">
        <f>+L45*K45</f>
        <v>0</v>
      </c>
    </row>
    <row r="46" spans="2:24" ht="14.4" customHeight="1" x14ac:dyDescent="0.35">
      <c r="E46" s="445" t="s">
        <v>359</v>
      </c>
      <c r="F46" s="445"/>
      <c r="G46" s="445"/>
      <c r="H46" s="209"/>
      <c r="I46" s="298">
        <f>+J46*K46</f>
        <v>0</v>
      </c>
      <c r="J46" s="298">
        <v>0.340368</v>
      </c>
      <c r="K46" s="246">
        <v>0</v>
      </c>
      <c r="L46" s="346">
        <v>2.2358937544867188</v>
      </c>
      <c r="M46" s="344">
        <f>+L46*K46</f>
        <v>0</v>
      </c>
    </row>
    <row r="47" spans="2:24" ht="14.4" customHeight="1" x14ac:dyDescent="0.35">
      <c r="E47" s="445" t="s">
        <v>376</v>
      </c>
      <c r="F47" s="445"/>
      <c r="G47" s="445"/>
      <c r="H47" s="209">
        <v>0</v>
      </c>
      <c r="I47" s="298">
        <f>+H47*$J$47*$K$47</f>
        <v>0</v>
      </c>
      <c r="J47" s="298">
        <f>23683234/1000000</f>
        <v>23.683233999999999</v>
      </c>
      <c r="K47" s="226">
        <v>0</v>
      </c>
      <c r="L47" s="346">
        <v>254.98967741935485</v>
      </c>
      <c r="M47" s="344">
        <f>+L47*K47*H47</f>
        <v>0</v>
      </c>
    </row>
    <row r="48" spans="2:24" ht="14.4" customHeight="1" x14ac:dyDescent="0.35">
      <c r="E48" s="445" t="s">
        <v>236</v>
      </c>
      <c r="F48" s="445"/>
      <c r="G48" s="445"/>
      <c r="H48" s="209"/>
      <c r="I48" s="298">
        <f>+J48*K48</f>
        <v>0</v>
      </c>
      <c r="J48" s="298">
        <f>25508/1000000</f>
        <v>2.5507999999999999E-2</v>
      </c>
      <c r="K48" s="246">
        <f>7/(0.05)*0</f>
        <v>0</v>
      </c>
      <c r="L48" s="347" t="s">
        <v>486</v>
      </c>
      <c r="M48" s="349"/>
    </row>
    <row r="49" spans="2:13" ht="14.4" customHeight="1" x14ac:dyDescent="0.35">
      <c r="E49" s="445" t="s">
        <v>451</v>
      </c>
      <c r="F49" s="445"/>
      <c r="G49" s="445"/>
      <c r="H49" s="209">
        <v>1</v>
      </c>
      <c r="I49" s="298">
        <f>H49*J49</f>
        <v>7.9892054999999997</v>
      </c>
      <c r="J49" s="298">
        <f>15978411/2000000</f>
        <v>7.9892054999999997</v>
      </c>
      <c r="K49" s="246"/>
      <c r="L49" s="347" t="s">
        <v>486</v>
      </c>
      <c r="M49" s="344"/>
    </row>
    <row r="50" spans="2:13" ht="14.4" customHeight="1" x14ac:dyDescent="0.35">
      <c r="E50" s="445" t="s">
        <v>298</v>
      </c>
      <c r="F50" s="445"/>
      <c r="G50" s="445"/>
      <c r="H50" s="209"/>
      <c r="I50" s="210">
        <f>SUM(I44:I49)</f>
        <v>7.9892054999999997</v>
      </c>
      <c r="J50" s="214"/>
      <c r="K50" s="246"/>
      <c r="L50" s="344"/>
      <c r="M50" s="344"/>
    </row>
    <row r="51" spans="2:13" ht="14.4" customHeight="1" x14ac:dyDescent="0.35">
      <c r="E51" s="227"/>
      <c r="F51" s="227"/>
      <c r="G51" s="227"/>
      <c r="H51" s="209"/>
      <c r="I51" s="210"/>
      <c r="J51" s="214"/>
      <c r="K51" s="246"/>
      <c r="L51" s="344"/>
      <c r="M51" s="344"/>
    </row>
    <row r="52" spans="2:13" ht="14.4" customHeight="1" x14ac:dyDescent="0.35">
      <c r="E52" s="445" t="s">
        <v>175</v>
      </c>
      <c r="F52" s="445"/>
      <c r="G52" s="445"/>
      <c r="H52" s="209">
        <f>+U25</f>
        <v>7.0735881346263532E-2</v>
      </c>
      <c r="I52" s="210">
        <f>+H52*$J$52*$K$52</f>
        <v>3.3387335995436391</v>
      </c>
      <c r="J52" s="211">
        <v>11.8</v>
      </c>
      <c r="K52" s="246">
        <v>4</v>
      </c>
      <c r="L52" s="344">
        <v>118.52055555555555</v>
      </c>
      <c r="M52" s="344">
        <f>+L52*K52*H52</f>
        <v>33.534623819484047</v>
      </c>
    </row>
    <row r="53" spans="2:13" ht="14.4" customHeight="1" x14ac:dyDescent="0.35">
      <c r="E53" s="445" t="s">
        <v>225</v>
      </c>
      <c r="F53" s="445"/>
      <c r="G53" s="445"/>
      <c r="H53" s="209"/>
      <c r="I53" s="210">
        <f>+J53*K53</f>
        <v>0</v>
      </c>
      <c r="J53" s="296">
        <f>+J45*0</f>
        <v>0</v>
      </c>
      <c r="K53" s="215">
        <f>+((15*2.8)*2.72)*0</f>
        <v>0</v>
      </c>
      <c r="L53" s="346">
        <v>1.6919982016368774E-2</v>
      </c>
      <c r="M53" s="344">
        <f>+L53*K53</f>
        <v>0</v>
      </c>
    </row>
    <row r="54" spans="2:13" ht="14.4" customHeight="1" x14ac:dyDescent="0.35">
      <c r="E54" s="445" t="s">
        <v>297</v>
      </c>
      <c r="F54" s="445"/>
      <c r="G54" s="445"/>
      <c r="H54" s="209"/>
      <c r="I54" s="210">
        <f>SUM(I52:I53)</f>
        <v>3.3387335995436391</v>
      </c>
      <c r="J54" s="214"/>
      <c r="K54" s="246"/>
      <c r="L54" s="347"/>
      <c r="M54" s="349"/>
    </row>
    <row r="55" spans="2:13" ht="14.4" customHeight="1" x14ac:dyDescent="0.3">
      <c r="E55" s="227"/>
      <c r="F55" s="227"/>
      <c r="G55" s="227"/>
      <c r="H55" s="209"/>
      <c r="I55" s="210"/>
      <c r="J55" s="214"/>
      <c r="K55" s="246"/>
      <c r="L55" s="213"/>
      <c r="M55" s="352">
        <f>SUM(M44:M54)</f>
        <v>33.534623819484047</v>
      </c>
    </row>
    <row r="56" spans="2:13" ht="14.4" customHeight="1" x14ac:dyDescent="0.3">
      <c r="L56" s="213"/>
    </row>
    <row r="57" spans="2:13" ht="7.75" customHeight="1" thickBot="1" x14ac:dyDescent="0.35"/>
    <row r="58" spans="2:13" ht="30" customHeight="1" thickBot="1" x14ac:dyDescent="0.35">
      <c r="B58" s="191"/>
      <c r="C58" s="446" t="s">
        <v>88</v>
      </c>
      <c r="D58" s="446"/>
      <c r="E58" s="192"/>
      <c r="F58" s="192"/>
      <c r="G58" s="192"/>
      <c r="H58" s="192"/>
      <c r="I58" s="216"/>
      <c r="J58" s="193"/>
    </row>
    <row r="59" spans="2:13" ht="38" customHeight="1" x14ac:dyDescent="0.3">
      <c r="C59" s="217" t="s">
        <v>89</v>
      </c>
      <c r="D59" s="195">
        <f>SUMPRODUCT((LEFT(G21:G33, 5)="Jumbo") / (COUNTIF(G21:G33, G21:G33 &amp; "") + (G21:G33="")))</f>
        <v>1</v>
      </c>
      <c r="E59" s="447" t="s">
        <v>90</v>
      </c>
      <c r="F59" s="447"/>
      <c r="G59" s="218">
        <v>0.20833333333333334</v>
      </c>
      <c r="I59" s="139"/>
      <c r="J59" s="190"/>
    </row>
    <row r="60" spans="2:13" ht="38" customHeight="1" x14ac:dyDescent="0.3">
      <c r="E60" s="447" t="s">
        <v>93</v>
      </c>
      <c r="F60" s="447"/>
      <c r="G60" s="195">
        <f>15000/(60)</f>
        <v>250</v>
      </c>
      <c r="H60" s="219" t="s">
        <v>143</v>
      </c>
      <c r="I60" s="139"/>
      <c r="J60" s="190"/>
    </row>
    <row r="61" spans="2:13" ht="38" customHeight="1" x14ac:dyDescent="0.3">
      <c r="E61" s="448" t="s">
        <v>91</v>
      </c>
      <c r="F61" s="448"/>
      <c r="G61" s="207">
        <f>+SUM(SUMIF($G$21:$G$33, "Jumbo*", $J$21:$J$33))/SUMPRODUCT((LEFT(G21:G33, 5)="Jumbo") / (COUNTIF(G21:G33, G21:G33 &amp; "") + (G21:G33="")))</f>
        <v>4.7222222222222221E-2</v>
      </c>
      <c r="H61" s="220">
        <f>+G61*24/($G$59*24)</f>
        <v>0.22666666666666666</v>
      </c>
      <c r="I61" s="190"/>
      <c r="J61" s="190"/>
    </row>
    <row r="62" spans="2:13" ht="38" customHeight="1" x14ac:dyDescent="0.3">
      <c r="E62" s="448" t="s">
        <v>92</v>
      </c>
      <c r="F62" s="448"/>
      <c r="G62" s="221">
        <f>+SUM(V21:V33)/D59</f>
        <v>0</v>
      </c>
      <c r="H62" s="220">
        <f>+G62/G60</f>
        <v>0</v>
      </c>
      <c r="I62" s="190"/>
      <c r="J62" s="190"/>
    </row>
    <row r="63" spans="2:13" ht="38" customHeight="1" x14ac:dyDescent="0.3">
      <c r="G63" s="222" t="s">
        <v>87</v>
      </c>
      <c r="H63" s="139" t="s">
        <v>23</v>
      </c>
    </row>
    <row r="64" spans="2:13" ht="20" customHeight="1" x14ac:dyDescent="0.3">
      <c r="F64" s="208" t="s">
        <v>65</v>
      </c>
      <c r="G64" s="221">
        <f t="shared" ref="G64:G69" si="14" xml:space="preserve"> SUMIF($G$21:$G$33, +F64,$V$21:$V$33)</f>
        <v>0</v>
      </c>
      <c r="H64" s="220">
        <f t="shared" ref="H64:H69" si="15">+G64/$G$60</f>
        <v>0</v>
      </c>
    </row>
    <row r="65" spans="2:10" ht="20" customHeight="1" x14ac:dyDescent="0.3">
      <c r="F65" s="208" t="s">
        <v>66</v>
      </c>
      <c r="G65" s="221">
        <f t="shared" si="14"/>
        <v>0</v>
      </c>
      <c r="H65" s="220">
        <f t="shared" si="15"/>
        <v>0</v>
      </c>
    </row>
    <row r="66" spans="2:10" ht="20" customHeight="1" x14ac:dyDescent="0.3">
      <c r="F66" s="208" t="s">
        <v>67</v>
      </c>
      <c r="G66" s="221">
        <f t="shared" si="14"/>
        <v>0</v>
      </c>
      <c r="H66" s="220">
        <f t="shared" si="15"/>
        <v>0</v>
      </c>
    </row>
    <row r="67" spans="2:10" ht="20" customHeight="1" x14ac:dyDescent="0.3">
      <c r="F67" s="208" t="s">
        <v>68</v>
      </c>
      <c r="G67" s="221">
        <f t="shared" si="14"/>
        <v>0</v>
      </c>
      <c r="H67" s="220">
        <f t="shared" si="15"/>
        <v>0</v>
      </c>
    </row>
    <row r="68" spans="2:10" ht="20" customHeight="1" x14ac:dyDescent="0.3">
      <c r="F68" s="208" t="s">
        <v>69</v>
      </c>
      <c r="G68" s="221">
        <f t="shared" si="14"/>
        <v>0</v>
      </c>
      <c r="H68" s="220">
        <f t="shared" si="15"/>
        <v>0</v>
      </c>
    </row>
    <row r="69" spans="2:10" ht="20" customHeight="1" x14ac:dyDescent="0.3">
      <c r="F69" s="208" t="s">
        <v>70</v>
      </c>
      <c r="G69" s="221">
        <f t="shared" si="14"/>
        <v>0</v>
      </c>
      <c r="H69" s="220">
        <f t="shared" si="15"/>
        <v>0</v>
      </c>
    </row>
    <row r="70" spans="2:10" ht="20" customHeight="1" x14ac:dyDescent="0.3">
      <c r="F70" s="208" t="s">
        <v>146</v>
      </c>
      <c r="G70" s="223">
        <f>+SUM(G64:G69)</f>
        <v>0</v>
      </c>
      <c r="H70" s="220">
        <f>+G70/($G$60*$D$59)</f>
        <v>0</v>
      </c>
    </row>
    <row r="71" spans="2:10" ht="13.5" thickBot="1" x14ac:dyDescent="0.35"/>
    <row r="72" spans="2:10" ht="30" customHeight="1" thickBot="1" x14ac:dyDescent="0.35">
      <c r="B72" s="191"/>
      <c r="C72" s="446" t="s">
        <v>107</v>
      </c>
      <c r="D72" s="446"/>
      <c r="E72" s="192"/>
      <c r="F72" s="192"/>
      <c r="G72" s="192"/>
      <c r="H72" s="192"/>
      <c r="I72" s="216"/>
      <c r="J72" s="193"/>
    </row>
    <row r="73" spans="2:10" ht="38" customHeight="1" x14ac:dyDescent="0.3">
      <c r="C73" s="208" t="s">
        <v>95</v>
      </c>
      <c r="D73" s="195">
        <f>SUMPRODUCT((LEFT(G21:G33, 5)="Scoop") / (COUNTIF(G21:G33, G21:G33 &amp; "") + (G21:G33="")))</f>
        <v>0</v>
      </c>
      <c r="E73" s="447" t="s">
        <v>90</v>
      </c>
      <c r="F73" s="447"/>
      <c r="G73" s="218">
        <v>0.20833333333333334</v>
      </c>
      <c r="I73" s="139"/>
      <c r="J73" s="190"/>
    </row>
    <row r="74" spans="2:10" ht="38" customHeight="1" x14ac:dyDescent="0.3">
      <c r="C74" s="208" t="s">
        <v>145</v>
      </c>
      <c r="D74" s="195">
        <v>4.9000000000000004</v>
      </c>
      <c r="E74" s="447" t="s">
        <v>97</v>
      </c>
      <c r="F74" s="447"/>
      <c r="G74" s="195">
        <f>15000/(60)</f>
        <v>250</v>
      </c>
      <c r="H74" s="219" t="s">
        <v>23</v>
      </c>
      <c r="I74" s="139"/>
      <c r="J74" s="190"/>
    </row>
    <row r="75" spans="2:10" ht="38" customHeight="1" x14ac:dyDescent="0.3">
      <c r="E75" s="448" t="s">
        <v>98</v>
      </c>
      <c r="F75" s="448"/>
      <c r="G75" s="207" t="e">
        <f>+SUM(SUMIF($G$21:$G$33, "Scoop*", $J$21:$J$33))/SUMPRODUCT((LEFT(G21:G33, 5)="Scoop") / (COUNTIF(G21:G33, G21:G33 &amp; "") + (G21:G33="")))</f>
        <v>#DIV/0!</v>
      </c>
      <c r="H75" s="220" t="e">
        <f>+G75*24/($G$73*24)</f>
        <v>#DIV/0!</v>
      </c>
      <c r="I75" s="190"/>
      <c r="J75" s="190"/>
    </row>
    <row r="76" spans="2:10" ht="38" customHeight="1" x14ac:dyDescent="0.3">
      <c r="E76" s="448" t="s">
        <v>99</v>
      </c>
      <c r="F76" s="448"/>
      <c r="G76" s="221" t="e">
        <f>+SUM(W21:W33)*D74/D73</f>
        <v>#DIV/0!</v>
      </c>
      <c r="H76" s="220" t="e">
        <f>+G76/G74</f>
        <v>#DIV/0!</v>
      </c>
      <c r="I76" s="190"/>
      <c r="J76" s="190"/>
    </row>
    <row r="77" spans="2:10" ht="38" customHeight="1" x14ac:dyDescent="0.3">
      <c r="G77" s="222" t="s">
        <v>96</v>
      </c>
      <c r="H77" s="139" t="s">
        <v>23</v>
      </c>
    </row>
    <row r="78" spans="2:10" ht="20" customHeight="1" x14ac:dyDescent="0.3">
      <c r="F78" s="208" t="s">
        <v>71</v>
      </c>
      <c r="G78" s="221">
        <f t="shared" ref="G78:G83" si="16" xml:space="preserve"> SUMIF($G$21:$G$33, +F78,$W$21:$W$33)*$D$74</f>
        <v>0</v>
      </c>
      <c r="H78" s="220">
        <f>+G78/$G$74</f>
        <v>0</v>
      </c>
    </row>
    <row r="79" spans="2:10" ht="20" customHeight="1" x14ac:dyDescent="0.3">
      <c r="F79" s="208" t="s">
        <v>72</v>
      </c>
      <c r="G79" s="221">
        <f t="shared" si="16"/>
        <v>0</v>
      </c>
      <c r="H79" s="220">
        <f t="shared" ref="H79:H84" si="17">+G79/$G$74</f>
        <v>0</v>
      </c>
    </row>
    <row r="80" spans="2:10" ht="20" customHeight="1" x14ac:dyDescent="0.3">
      <c r="F80" s="208" t="s">
        <v>73</v>
      </c>
      <c r="G80" s="221">
        <f t="shared" si="16"/>
        <v>0</v>
      </c>
      <c r="H80" s="220">
        <f t="shared" si="17"/>
        <v>0</v>
      </c>
    </row>
    <row r="81" spans="2:10" ht="20" customHeight="1" x14ac:dyDescent="0.3">
      <c r="F81" s="208" t="s">
        <v>74</v>
      </c>
      <c r="G81" s="221">
        <f t="shared" si="16"/>
        <v>0</v>
      </c>
      <c r="H81" s="220">
        <f t="shared" si="17"/>
        <v>0</v>
      </c>
    </row>
    <row r="82" spans="2:10" ht="20" customHeight="1" x14ac:dyDescent="0.3">
      <c r="F82" s="208" t="s">
        <v>75</v>
      </c>
      <c r="G82" s="221">
        <f t="shared" si="16"/>
        <v>0</v>
      </c>
      <c r="H82" s="220">
        <f t="shared" si="17"/>
        <v>0</v>
      </c>
    </row>
    <row r="83" spans="2:10" ht="20" customHeight="1" x14ac:dyDescent="0.3">
      <c r="F83" s="208" t="s">
        <v>76</v>
      </c>
      <c r="G83" s="221">
        <f t="shared" si="16"/>
        <v>0</v>
      </c>
      <c r="H83" s="220">
        <f t="shared" si="17"/>
        <v>0</v>
      </c>
    </row>
    <row r="84" spans="2:10" ht="20" customHeight="1" x14ac:dyDescent="0.3">
      <c r="F84" s="208" t="s">
        <v>146</v>
      </c>
      <c r="G84" s="223">
        <f>+SUM(G78:G83)</f>
        <v>0</v>
      </c>
      <c r="H84" s="220">
        <f t="shared" si="17"/>
        <v>0</v>
      </c>
    </row>
    <row r="85" spans="2:10" ht="13.5" thickBot="1" x14ac:dyDescent="0.35"/>
    <row r="86" spans="2:10" ht="30" customHeight="1" thickBot="1" x14ac:dyDescent="0.35">
      <c r="B86" s="191"/>
      <c r="C86" s="446" t="s">
        <v>149</v>
      </c>
      <c r="D86" s="446"/>
      <c r="E86" s="192"/>
      <c r="F86" s="192"/>
      <c r="G86" s="192"/>
      <c r="H86" s="192"/>
      <c r="I86" s="216"/>
      <c r="J86" s="193"/>
    </row>
    <row r="87" spans="2:10" ht="25.25" customHeight="1" x14ac:dyDescent="0.3">
      <c r="C87" s="208" t="s">
        <v>150</v>
      </c>
      <c r="D87" s="195">
        <f>SUMPRODUCT((LEFT(G21:G33, 8)="Roboshot") / (COUNTIF(G21:G33, G21:G33 &amp; "") + (G21:G33="")))</f>
        <v>0</v>
      </c>
      <c r="E87" s="447" t="s">
        <v>90</v>
      </c>
      <c r="F87" s="447"/>
      <c r="G87" s="218">
        <v>0.20833333333333334</v>
      </c>
    </row>
    <row r="88" spans="2:10" x14ac:dyDescent="0.3">
      <c r="C88" s="208"/>
      <c r="D88" s="195"/>
      <c r="E88" s="447" t="s">
        <v>97</v>
      </c>
      <c r="F88" s="447"/>
      <c r="G88" s="195">
        <v>12</v>
      </c>
      <c r="H88" s="219" t="s">
        <v>23</v>
      </c>
    </row>
    <row r="90" spans="2:10" x14ac:dyDescent="0.3">
      <c r="G90" s="222" t="s">
        <v>96</v>
      </c>
      <c r="H90" s="139" t="s">
        <v>23</v>
      </c>
    </row>
    <row r="91" spans="2:10" x14ac:dyDescent="0.3">
      <c r="F91" s="208" t="s">
        <v>77</v>
      </c>
      <c r="G91" s="221">
        <f xml:space="preserve"> SUMIF($G$21:$G$33, +F91,$X$21:$X$33)</f>
        <v>0</v>
      </c>
      <c r="H91" s="220">
        <f>+G91/$G$88</f>
        <v>0</v>
      </c>
    </row>
    <row r="92" spans="2:10" x14ac:dyDescent="0.3">
      <c r="F92" s="208" t="s">
        <v>78</v>
      </c>
      <c r="G92" s="221">
        <f xml:space="preserve"> SUMIF($G$21:$G$33, +F92,$X$21:$X$33)</f>
        <v>0</v>
      </c>
      <c r="H92" s="220">
        <f t="shared" ref="H92:H93" si="18">+G92/$G$88</f>
        <v>0</v>
      </c>
    </row>
    <row r="93" spans="2:10" x14ac:dyDescent="0.3">
      <c r="F93" s="208" t="s">
        <v>79</v>
      </c>
      <c r="G93" s="221">
        <f xml:space="preserve"> SUMIF($G$21:$G$33, +F93,$X$21:$X$33)</f>
        <v>0</v>
      </c>
      <c r="H93" s="220">
        <f t="shared" si="18"/>
        <v>0</v>
      </c>
    </row>
    <row r="94" spans="2:10" x14ac:dyDescent="0.3">
      <c r="F94" s="208" t="s">
        <v>146</v>
      </c>
      <c r="G94" s="223">
        <f>+SUM(G91:G93)</f>
        <v>0</v>
      </c>
      <c r="H94" s="220">
        <f>+G94/$G$88</f>
        <v>0</v>
      </c>
    </row>
  </sheetData>
  <mergeCells count="41">
    <mergeCell ref="E45:G45"/>
    <mergeCell ref="K8:L8"/>
    <mergeCell ref="B1:D4"/>
    <mergeCell ref="E2:R2"/>
    <mergeCell ref="E3:R4"/>
    <mergeCell ref="K6:L6"/>
    <mergeCell ref="K7:L7"/>
    <mergeCell ref="E53:G53"/>
    <mergeCell ref="E54:G54"/>
    <mergeCell ref="E46:G46"/>
    <mergeCell ref="K9:L9"/>
    <mergeCell ref="K10:L10"/>
    <mergeCell ref="K11:L11"/>
    <mergeCell ref="K12:L12"/>
    <mergeCell ref="B14:S14"/>
    <mergeCell ref="C38:D38"/>
    <mergeCell ref="G38:H38"/>
    <mergeCell ref="I38:J38"/>
    <mergeCell ref="K38:L38"/>
    <mergeCell ref="E39:F39"/>
    <mergeCell ref="E40:F40"/>
    <mergeCell ref="E41:F41"/>
    <mergeCell ref="E44:G44"/>
    <mergeCell ref="E47:G47"/>
    <mergeCell ref="E48:G48"/>
    <mergeCell ref="E49:G49"/>
    <mergeCell ref="E50:G50"/>
    <mergeCell ref="E52:G52"/>
    <mergeCell ref="C58:D58"/>
    <mergeCell ref="E59:F59"/>
    <mergeCell ref="E60:F60"/>
    <mergeCell ref="E61:F61"/>
    <mergeCell ref="E87:F87"/>
    <mergeCell ref="E62:F62"/>
    <mergeCell ref="E88:F88"/>
    <mergeCell ref="C72:D72"/>
    <mergeCell ref="E73:F73"/>
    <mergeCell ref="E74:F74"/>
    <mergeCell ref="E75:F75"/>
    <mergeCell ref="E76:F76"/>
    <mergeCell ref="C86:D86"/>
  </mergeCells>
  <conditionalFormatting sqref="H40:H41 J40:J41">
    <cfRule type="cellIs" dxfId="314" priority="13" operator="greaterThan">
      <formula>0.9</formula>
    </cfRule>
    <cfRule type="cellIs" dxfId="313" priority="14" operator="between">
      <formula>0.81</formula>
      <formula>0.89</formula>
    </cfRule>
    <cfRule type="cellIs" dxfId="312" priority="15" operator="lessThan">
      <formula>0.8</formula>
    </cfRule>
  </conditionalFormatting>
  <conditionalFormatting sqref="H61:H62">
    <cfRule type="cellIs" dxfId="311" priority="16" operator="greaterThan">
      <formula>0.9</formula>
    </cfRule>
    <cfRule type="cellIs" dxfId="310" priority="17" operator="between">
      <formula>0.81</formula>
      <formula>0.89</formula>
    </cfRule>
    <cfRule type="cellIs" dxfId="309" priority="18" operator="lessThan">
      <formula>0.8</formula>
    </cfRule>
  </conditionalFormatting>
  <conditionalFormatting sqref="H64:H70">
    <cfRule type="cellIs" dxfId="308" priority="19" operator="greaterThan">
      <formula>0.9</formula>
    </cfRule>
    <cfRule type="cellIs" dxfId="307" priority="20" operator="between">
      <formula>0.81</formula>
      <formula>0.89</formula>
    </cfRule>
    <cfRule type="cellIs" dxfId="306" priority="21" operator="lessThan">
      <formula>0.8</formula>
    </cfRule>
  </conditionalFormatting>
  <conditionalFormatting sqref="H75:H76">
    <cfRule type="cellIs" dxfId="305" priority="7" operator="greaterThan">
      <formula>0.9</formula>
    </cfRule>
    <cfRule type="cellIs" dxfId="304" priority="8" operator="between">
      <formula>0.81</formula>
      <formula>0.89</formula>
    </cfRule>
    <cfRule type="cellIs" dxfId="303" priority="9" operator="lessThan">
      <formula>0.8</formula>
    </cfRule>
  </conditionalFormatting>
  <conditionalFormatting sqref="H78:H84">
    <cfRule type="cellIs" dxfId="302" priority="10" operator="greaterThan">
      <formula>0.9</formula>
    </cfRule>
    <cfRule type="cellIs" dxfId="301" priority="11" operator="between">
      <formula>0.81</formula>
      <formula>0.89</formula>
    </cfRule>
    <cfRule type="cellIs" dxfId="300" priority="12" operator="lessThan">
      <formula>0.8</formula>
    </cfRule>
  </conditionalFormatting>
  <conditionalFormatting sqref="H91:H94">
    <cfRule type="cellIs" dxfId="299" priority="4" operator="greaterThan">
      <formula>0.9</formula>
    </cfRule>
    <cfRule type="cellIs" dxfId="298" priority="5" operator="between">
      <formula>0.81</formula>
      <formula>0.89</formula>
    </cfRule>
    <cfRule type="cellIs" dxfId="297" priority="6" operator="lessThan">
      <formula>0.8</formula>
    </cfRule>
  </conditionalFormatting>
  <conditionalFormatting sqref="L40:L41">
    <cfRule type="cellIs" dxfId="296" priority="1" operator="greaterThan">
      <formula>0.9</formula>
    </cfRule>
    <cfRule type="cellIs" dxfId="295" priority="2" operator="between">
      <formula>0.81</formula>
      <formula>0.89</formula>
    </cfRule>
    <cfRule type="cellIs" dxfId="294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E8C7680-474E-4EA3-BD9E-7D2D9C926972}">
          <x14:formula1>
            <xm:f>Datos!$F$3:$F$41</xm:f>
          </x14:formula1>
          <xm:sqref>G28:G36 G21:G25</xm:sqref>
        </x14:dataValidation>
        <x14:dataValidation type="list" allowBlank="1" showInputMessage="1" showErrorMessage="1" xr:uid="{05D84206-FC81-4D90-BA40-FCC076AB34D6}">
          <x14:formula1>
            <xm:f>Datos!$W$3:$W$12</xm:f>
          </x14:formula1>
          <xm:sqref>L28:L36 L21:L25</xm:sqref>
        </x14:dataValidation>
        <x14:dataValidation type="list" allowBlank="1" showInputMessage="1" showErrorMessage="1" xr:uid="{8C7BD75B-8FDB-4068-B693-8E6BFAE8B367}">
          <x14:formula1>
            <xm:f>Datos!$D$3:$D$27</xm:f>
          </x14:formula1>
          <xm:sqref>F28:F36 F21:F25</xm:sqref>
        </x14:dataValidation>
        <x14:dataValidation type="list" allowBlank="1" showInputMessage="1" showErrorMessage="1" xr:uid="{A740CCC8-B133-42BC-9308-240FF3B84694}">
          <x14:formula1>
            <xm:f>Datos!$B$3:$B$8</xm:f>
          </x14:formula1>
          <xm:sqref>E28:E36 E21:E25</xm:sqref>
        </x14:dataValidation>
        <x14:dataValidation type="list" allowBlank="1" showInputMessage="1" showErrorMessage="1" xr:uid="{77158900-CC6E-4FC7-90AA-17EB8A67B133}">
          <x14:formula1>
            <xm:f>Datos!$H$3:$H$34</xm:f>
          </x14:formula1>
          <xm:sqref>D28:D35 D21:D24</xm:sqref>
        </x14:dataValidation>
        <x14:dataValidation type="list" allowBlank="1" showInputMessage="1" showErrorMessage="1" xr:uid="{A07DDFBF-596C-4C7F-92BA-571C9FBC31B6}">
          <x14:formula1>
            <xm:f>Datos!$H$3:$H$26</xm:f>
          </x14:formula1>
          <xm:sqref>D25 D36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CBFB-48D7-4F99-8DE6-FA94B8081097}">
  <sheetPr>
    <pageSetUpPr fitToPage="1"/>
  </sheetPr>
  <dimension ref="B1:X96"/>
  <sheetViews>
    <sheetView showGridLines="0" topLeftCell="A19" zoomScaleNormal="100" zoomScaleSheetLayoutView="50" workbookViewId="0">
      <pane xSplit="3" ySplit="2" topLeftCell="D27" activePane="bottomRight" state="frozen"/>
      <selection activeCell="D25" sqref="D25"/>
      <selection pane="topRight" activeCell="D25" sqref="D25"/>
      <selection pane="bottomLeft" activeCell="D25" sqref="D25"/>
      <selection pane="bottomRight" activeCell="K26" sqref="K26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0.50694444444444442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0.8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+G72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+G86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+G96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172</v>
      </c>
      <c r="E21" s="172" t="s">
        <v>6</v>
      </c>
      <c r="F21" s="172" t="s">
        <v>163</v>
      </c>
      <c r="G21" s="172" t="s">
        <v>210</v>
      </c>
      <c r="H21" s="174">
        <v>0.35069444444444442</v>
      </c>
      <c r="I21" s="174">
        <v>0.36458333333333331</v>
      </c>
      <c r="J21" s="175">
        <f t="shared" ref="J21:J25" si="0">I21-H21</f>
        <v>1.3888888888888895E-2</v>
      </c>
      <c r="K21" s="178"/>
      <c r="L21" s="177"/>
      <c r="M21" s="178"/>
      <c r="N21" s="179">
        <v>1</v>
      </c>
      <c r="O21" s="186" t="s">
        <v>488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110</v>
      </c>
      <c r="E22" s="172" t="s">
        <v>6</v>
      </c>
      <c r="F22" s="172" t="s">
        <v>163</v>
      </c>
      <c r="G22" s="172" t="s">
        <v>210</v>
      </c>
      <c r="H22" s="174">
        <v>0.36458333333333331</v>
      </c>
      <c r="I22" s="174">
        <v>0.38194444444444442</v>
      </c>
      <c r="J22" s="175">
        <f t="shared" si="0"/>
        <v>1.7361111111111105E-2</v>
      </c>
      <c r="K22" s="178"/>
      <c r="L22" s="177"/>
      <c r="M22" s="178"/>
      <c r="N22" s="179">
        <v>1</v>
      </c>
      <c r="O22" s="225" t="s">
        <v>489</v>
      </c>
      <c r="P22" s="181"/>
      <c r="Q22" s="174"/>
      <c r="R22" s="172"/>
      <c r="S22" s="175">
        <f t="shared" ref="S22:S27" si="1">+MOD(R22-Q22,1)</f>
        <v>0</v>
      </c>
      <c r="U22" s="182">
        <f>+IFERROR(VLOOKUP(D22,Datos!$R$3:$T$19,3,FALSE), "0")*N22</f>
        <v>0</v>
      </c>
      <c r="V22" s="183" t="str">
        <f t="shared" ref="V22:V27" si="2">IF(OR(D22="Perforación de Fortificación", D22="Perforación de Avance", D22="Perforación Desquinche"), K22*M22, "")</f>
        <v/>
      </c>
      <c r="W22" s="183" t="str">
        <f t="shared" ref="W22:W27" si="3">IF(D22="Extracción de Marina Disparo",K22,"")</f>
        <v/>
      </c>
      <c r="X22" s="183" t="str">
        <f t="shared" ref="X22:X27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288</v>
      </c>
      <c r="E23" s="172" t="s">
        <v>6</v>
      </c>
      <c r="F23" s="172" t="s">
        <v>163</v>
      </c>
      <c r="G23" s="172" t="s">
        <v>210</v>
      </c>
      <c r="H23" s="174">
        <v>0.40625</v>
      </c>
      <c r="I23" s="174">
        <v>0.47569444444444442</v>
      </c>
      <c r="J23" s="175">
        <f t="shared" si="0"/>
        <v>6.944444444444442E-2</v>
      </c>
      <c r="K23" s="178"/>
      <c r="L23" s="177"/>
      <c r="M23" s="178"/>
      <c r="N23" s="179">
        <v>1</v>
      </c>
      <c r="O23" s="186" t="s">
        <v>490</v>
      </c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105</v>
      </c>
      <c r="E24" s="172" t="s">
        <v>6</v>
      </c>
      <c r="F24" s="172" t="s">
        <v>163</v>
      </c>
      <c r="G24" s="172" t="s">
        <v>204</v>
      </c>
      <c r="H24" s="174">
        <v>0.5</v>
      </c>
      <c r="I24" s="174">
        <v>0.75</v>
      </c>
      <c r="J24" s="175">
        <f t="shared" si="0"/>
        <v>0.25</v>
      </c>
      <c r="K24" s="178">
        <v>68</v>
      </c>
      <c r="L24" s="177" t="s">
        <v>128</v>
      </c>
      <c r="M24" s="178"/>
      <c r="N24" s="179">
        <v>1</v>
      </c>
      <c r="O24" s="186" t="s">
        <v>491</v>
      </c>
      <c r="P24" s="181"/>
      <c r="Q24" s="174"/>
      <c r="R24" s="174"/>
      <c r="S24" s="175"/>
      <c r="U24" s="182">
        <f>+IFERROR(VLOOKUP(D24,Datos!$R$3:$T$19,3,FALSE), "0")*N24</f>
        <v>0</v>
      </c>
      <c r="V24" s="183"/>
      <c r="W24" s="183"/>
      <c r="X24" s="183"/>
    </row>
    <row r="25" spans="2:24" ht="38" customHeight="1" x14ac:dyDescent="0.3">
      <c r="B25" s="172">
        <v>3500</v>
      </c>
      <c r="C25" s="173" t="s">
        <v>493</v>
      </c>
      <c r="D25" s="173" t="s">
        <v>51</v>
      </c>
      <c r="E25" s="172" t="s">
        <v>6</v>
      </c>
      <c r="F25" s="172" t="s">
        <v>163</v>
      </c>
      <c r="G25" s="172" t="s">
        <v>210</v>
      </c>
      <c r="H25" s="174">
        <v>0.59375</v>
      </c>
      <c r="I25" s="174">
        <v>0.75</v>
      </c>
      <c r="J25" s="175">
        <f t="shared" si="0"/>
        <v>0.15625</v>
      </c>
      <c r="K25" s="178"/>
      <c r="L25" s="177"/>
      <c r="M25" s="178"/>
      <c r="N25" s="179">
        <v>0</v>
      </c>
      <c r="O25" s="186" t="s">
        <v>492</v>
      </c>
      <c r="P25" s="181"/>
      <c r="Q25" s="174"/>
      <c r="R25" s="174"/>
      <c r="S25" s="175"/>
      <c r="U25" s="182">
        <f>+IFERROR(VLOOKUP(D25,Datos!$R$3:$T$19,3,FALSE), "0")*N25</f>
        <v>0</v>
      </c>
      <c r="V25" s="183"/>
      <c r="W25" s="183"/>
      <c r="X25" s="183"/>
    </row>
    <row r="26" spans="2:24" ht="37.75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/>
      <c r="K26" s="178"/>
      <c r="L26" s="177"/>
      <c r="M26" s="178"/>
      <c r="N26" s="179"/>
      <c r="O26" s="186"/>
      <c r="P26" s="181"/>
      <c r="Q26" s="174"/>
      <c r="R26" s="174"/>
      <c r="S26" s="175"/>
      <c r="U26" s="182"/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MOD(I25-H21, 1)</f>
        <v>0.39930555555555558</v>
      </c>
      <c r="K27" s="178"/>
      <c r="L27" s="177"/>
      <c r="M27" s="178"/>
      <c r="N27" s="179"/>
      <c r="O27" s="186" t="s">
        <v>436</v>
      </c>
      <c r="P27" s="172"/>
      <c r="Q27" s="172"/>
      <c r="R27" s="172"/>
      <c r="S27" s="175">
        <f t="shared" si="1"/>
        <v>0</v>
      </c>
      <c r="U27" s="182">
        <f>SUM(U21:U26)</f>
        <v>0</v>
      </c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 t="s">
        <v>110</v>
      </c>
      <c r="E30" s="172" t="s">
        <v>6</v>
      </c>
      <c r="F30" s="172" t="s">
        <v>164</v>
      </c>
      <c r="G30" s="172"/>
      <c r="H30" s="174">
        <v>0.33333333333333331</v>
      </c>
      <c r="I30" s="174">
        <v>0.83333333333333337</v>
      </c>
      <c r="J30" s="175">
        <f>I30-H30</f>
        <v>0.5</v>
      </c>
      <c r="K30" s="178"/>
      <c r="L30" s="177"/>
      <c r="M30" s="178"/>
      <c r="N30" s="179">
        <v>1</v>
      </c>
      <c r="O30" s="186" t="s">
        <v>428</v>
      </c>
      <c r="P30" s="225"/>
      <c r="Q30" s="174"/>
      <c r="R30" s="174"/>
      <c r="S30" s="175"/>
      <c r="U30" s="187">
        <f>+IFERROR(VLOOKUP(D30,Datos!$R$24:$T$40,3,FALSE), "0")*N30</f>
        <v>0</v>
      </c>
      <c r="V30" s="183" t="str">
        <f t="shared" ref="V30:V38" si="5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8" si="6">IF(OR(D30="Shotcrete", D30="Pre Shotcrete"), K30, "")</f>
        <v/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73"/>
      <c r="Q31" s="174"/>
      <c r="R31" s="174"/>
      <c r="S31" s="175"/>
      <c r="U31" s="187">
        <f>+IFERROR(VLOOKUP(D31,Datos!$R$24:$T$40,3,FALSE), "0")*N31</f>
        <v>0</v>
      </c>
      <c r="V31" s="183" t="str">
        <f t="shared" si="5"/>
        <v/>
      </c>
      <c r="W31" s="183" t="str">
        <f>IF(D31="Extracción de Marina Disparo",K31,"")</f>
        <v/>
      </c>
      <c r="X31" s="183" t="str">
        <f t="shared" si="6"/>
        <v/>
      </c>
    </row>
    <row r="32" spans="2:24" ht="53.4" customHeight="1" x14ac:dyDescent="0.3">
      <c r="B32" s="172">
        <v>3700</v>
      </c>
      <c r="C32" s="173" t="str">
        <f>+C30</f>
        <v>Ciclo Minero 5,2 x 5,6 m
Galería Acceso Portal de Servicio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225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5"/>
        <v/>
      </c>
      <c r="W32" s="183" t="str">
        <f t="shared" ref="W32:W38" si="7">IF(D32="Extracción de Marina Disparo",K32,"")</f>
        <v/>
      </c>
      <c r="X32" s="183" t="str">
        <f t="shared" si="6"/>
        <v/>
      </c>
    </row>
    <row r="33" spans="2:24" ht="38" customHeight="1" x14ac:dyDescent="0.3">
      <c r="B33" s="172">
        <v>3700</v>
      </c>
      <c r="C33" s="173" t="s">
        <v>397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72"/>
      <c r="Q33" s="172"/>
      <c r="R33" s="172"/>
      <c r="S33" s="175"/>
      <c r="U33" s="187">
        <f>+IFERROR(VLOOKUP(D33,Datos!$R$24:$T$40,3,FALSE), "0")*N33</f>
        <v>0</v>
      </c>
      <c r="V33" s="183" t="str">
        <f t="shared" si="5"/>
        <v/>
      </c>
      <c r="W33" s="183" t="str">
        <f t="shared" si="7"/>
        <v/>
      </c>
      <c r="X33" s="183"/>
    </row>
    <row r="34" spans="2:24" ht="38" customHeight="1" x14ac:dyDescent="0.3">
      <c r="B34" s="172">
        <v>3700</v>
      </c>
      <c r="C34" s="173" t="str">
        <f>+C33</f>
        <v>Fróntón Bodega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6"/>
      <c r="P34" s="181"/>
      <c r="Q34" s="174"/>
      <c r="R34" s="174"/>
      <c r="S34" s="175"/>
      <c r="U34" s="187">
        <f>+IFERROR(VLOOKUP(D34,Datos!$R$24:$T$40,3,FALSE), "0")*N34</f>
        <v>0</v>
      </c>
      <c r="V34" s="183" t="str">
        <f t="shared" si="5"/>
        <v/>
      </c>
      <c r="W34" s="183" t="str">
        <f t="shared" si="7"/>
        <v/>
      </c>
      <c r="X34" s="183" t="str">
        <f t="shared" si="6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225"/>
      <c r="P35" s="172"/>
      <c r="Q35" s="172"/>
      <c r="R35" s="172"/>
      <c r="S35" s="175">
        <f t="shared" ref="S35:S38" si="8">+MOD(R35-Q35,1)</f>
        <v>0</v>
      </c>
      <c r="U35" s="187">
        <f>+IFERROR(VLOOKUP(D35,Datos!$R$24:$T$40,3,FALSE), "0")*N35</f>
        <v>0</v>
      </c>
      <c r="V35" s="183" t="str">
        <f t="shared" si="5"/>
        <v/>
      </c>
      <c r="W35" s="183" t="str">
        <f t="shared" si="7"/>
        <v/>
      </c>
      <c r="X35" s="183" t="str">
        <f t="shared" si="6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8"/>
        <v>0</v>
      </c>
      <c r="U36" s="187"/>
      <c r="V36" s="183" t="str">
        <f t="shared" si="5"/>
        <v/>
      </c>
      <c r="W36" s="183" t="str">
        <f t="shared" si="7"/>
        <v/>
      </c>
      <c r="X36" s="183" t="str">
        <f t="shared" si="6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8"/>
        <v>0</v>
      </c>
      <c r="U37" s="187"/>
      <c r="V37" s="183" t="str">
        <f t="shared" si="5"/>
        <v/>
      </c>
      <c r="W37" s="183" t="str">
        <f t="shared" si="7"/>
        <v/>
      </c>
      <c r="X37" s="183" t="str">
        <f t="shared" si="6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 t="s">
        <v>329</v>
      </c>
      <c r="J38" s="175">
        <v>0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8"/>
        <v>0</v>
      </c>
      <c r="U38" s="182">
        <f>SUM(U30:U37)</f>
        <v>0</v>
      </c>
      <c r="V38" s="183" t="str">
        <f t="shared" si="5"/>
        <v/>
      </c>
      <c r="W38" s="183" t="str">
        <f t="shared" si="7"/>
        <v/>
      </c>
      <c r="X38" s="183" t="str">
        <f t="shared" si="6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SUMPRODUCT((LEFT(F21:F35, 1)="C") / (COUNTIF(F21:F35, F21:F35 &amp; "") + (F21:F35="")))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SUMPRODUCT((LEFT(F21:F35, 1)="O") / (COUNTIF(F21:F35, F21:F35 &amp; "") + (F21:F35="")))</f>
        <v>0</v>
      </c>
      <c r="E42" s="448" t="s">
        <v>198</v>
      </c>
      <c r="F42" s="448"/>
      <c r="G42" s="199">
        <f>SUM(J21:J26)</f>
        <v>0.50694444444444442</v>
      </c>
      <c r="H42" s="200">
        <f>+G42*24/($G$41*24)</f>
        <v>1.9466666666666665</v>
      </c>
      <c r="I42" s="199">
        <f>SUM(J30:J35)</f>
        <v>0.5</v>
      </c>
      <c r="J42" s="200">
        <f>+I42*24/($I$41*24)</f>
        <v>1.92</v>
      </c>
      <c r="K42" s="201">
        <f>AVERAGE(G42+I42)/2</f>
        <v>0.50347222222222221</v>
      </c>
      <c r="L42" s="200">
        <f>+K42*24/($K$41*24)</f>
        <v>1.9333333333333331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+AVERAGE(N21:N27)</f>
        <v>0.8</v>
      </c>
      <c r="I43" s="202"/>
      <c r="J43" s="203">
        <f>+AVERAGE(N30:N35)</f>
        <v>1</v>
      </c>
      <c r="K43" s="204"/>
      <c r="L43" s="203">
        <f>+AVERAGE(N21:N35)</f>
        <v>0.83333333333333337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404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+U38</f>
        <v>0</v>
      </c>
      <c r="I46" s="298">
        <f>+H46*$J$46*$K$46</f>
        <v>0</v>
      </c>
      <c r="J46" s="298">
        <v>6.6</v>
      </c>
      <c r="K46" s="246">
        <v>3.42</v>
      </c>
      <c r="L46" s="344">
        <v>56.080975609756102</v>
      </c>
      <c r="M46" s="344">
        <f>+L46*K46*H46</f>
        <v>0</v>
      </c>
    </row>
    <row r="47" spans="2:24" ht="14.4" customHeight="1" x14ac:dyDescent="0.35">
      <c r="E47" s="445" t="s">
        <v>224</v>
      </c>
      <c r="F47" s="445"/>
      <c r="G47" s="445"/>
      <c r="H47" s="209"/>
      <c r="I47" s="298">
        <f>+J47*K47</f>
        <v>0</v>
      </c>
      <c r="J47" s="298">
        <f>1892/1000000</f>
        <v>1.892E-3</v>
      </c>
      <c r="K47" s="246">
        <f>+((15*4.4)*2.72)*0</f>
        <v>0</v>
      </c>
      <c r="L47" s="346">
        <v>1.6919982016368774E-2</v>
      </c>
      <c r="M47" s="344">
        <f>+L47*K47</f>
        <v>0</v>
      </c>
    </row>
    <row r="48" spans="2:24" ht="14.4" customHeight="1" x14ac:dyDescent="0.35">
      <c r="E48" s="445" t="s">
        <v>359</v>
      </c>
      <c r="F48" s="445"/>
      <c r="G48" s="445"/>
      <c r="H48" s="209"/>
      <c r="I48" s="298">
        <f>+J48*K48</f>
        <v>0</v>
      </c>
      <c r="J48" s="298">
        <v>0.340368</v>
      </c>
      <c r="K48" s="246">
        <v>0</v>
      </c>
      <c r="L48" s="346">
        <v>2.2358937544867188</v>
      </c>
      <c r="M48" s="344">
        <f>+L48*K48</f>
        <v>0</v>
      </c>
    </row>
    <row r="49" spans="2:13" ht="14.4" customHeight="1" x14ac:dyDescent="0.35">
      <c r="E49" s="445" t="s">
        <v>376</v>
      </c>
      <c r="F49" s="445"/>
      <c r="G49" s="445"/>
      <c r="H49" s="209">
        <v>0</v>
      </c>
      <c r="I49" s="298">
        <f>+H49*$J$49*$K$49</f>
        <v>0</v>
      </c>
      <c r="J49" s="298">
        <f>23683234/1000000</f>
        <v>23.683233999999999</v>
      </c>
      <c r="K49" s="226">
        <v>0</v>
      </c>
      <c r="L49" s="346">
        <v>254.98967741935485</v>
      </c>
      <c r="M49" s="344">
        <f>+L49*K49*H49</f>
        <v>0</v>
      </c>
    </row>
    <row r="50" spans="2:13" ht="14.4" customHeight="1" x14ac:dyDescent="0.35">
      <c r="E50" s="445" t="s">
        <v>236</v>
      </c>
      <c r="F50" s="445"/>
      <c r="G50" s="445"/>
      <c r="H50" s="209"/>
      <c r="I50" s="298">
        <f>+J50*K50</f>
        <v>0</v>
      </c>
      <c r="J50" s="298">
        <f>25508/1000000</f>
        <v>2.5507999999999999E-2</v>
      </c>
      <c r="K50" s="246">
        <f>7/(0.05)*0</f>
        <v>0</v>
      </c>
      <c r="L50" s="347" t="s">
        <v>486</v>
      </c>
      <c r="M50" s="349"/>
    </row>
    <row r="51" spans="2:13" ht="14.4" customHeight="1" x14ac:dyDescent="0.35">
      <c r="E51" s="445" t="s">
        <v>451</v>
      </c>
      <c r="F51" s="445"/>
      <c r="G51" s="445"/>
      <c r="H51" s="209">
        <v>1</v>
      </c>
      <c r="I51" s="298">
        <f>H51*J51</f>
        <v>7.9892054999999997</v>
      </c>
      <c r="J51" s="298">
        <f>15978411/2000000</f>
        <v>7.9892054999999997</v>
      </c>
      <c r="K51" s="246"/>
      <c r="L51" s="347" t="s">
        <v>486</v>
      </c>
      <c r="M51" s="344"/>
    </row>
    <row r="52" spans="2:13" ht="14.4" customHeight="1" x14ac:dyDescent="0.35">
      <c r="E52" s="445" t="s">
        <v>298</v>
      </c>
      <c r="F52" s="445"/>
      <c r="G52" s="445"/>
      <c r="H52" s="209"/>
      <c r="I52" s="210">
        <f>SUM(I46:I51)</f>
        <v>7.9892054999999997</v>
      </c>
      <c r="J52" s="214"/>
      <c r="K52" s="246"/>
      <c r="L52" s="344"/>
      <c r="M52" s="344"/>
    </row>
    <row r="53" spans="2:13" ht="14.4" customHeight="1" x14ac:dyDescent="0.35">
      <c r="E53" s="227"/>
      <c r="F53" s="227"/>
      <c r="G53" s="227"/>
      <c r="H53" s="209"/>
      <c r="I53" s="210"/>
      <c r="J53" s="214"/>
      <c r="K53" s="246"/>
      <c r="L53" s="344"/>
      <c r="M53" s="344"/>
    </row>
    <row r="54" spans="2:13" ht="14.4" customHeight="1" x14ac:dyDescent="0.35">
      <c r="E54" s="445" t="s">
        <v>175</v>
      </c>
      <c r="F54" s="445"/>
      <c r="G54" s="445"/>
      <c r="H54" s="209">
        <f>+U27</f>
        <v>0</v>
      </c>
      <c r="I54" s="210">
        <f>+H54*$J$54*$K$54</f>
        <v>0</v>
      </c>
      <c r="J54" s="211">
        <v>11.8</v>
      </c>
      <c r="K54" s="246">
        <v>4</v>
      </c>
      <c r="L54" s="344">
        <v>118.52055555555555</v>
      </c>
      <c r="M54" s="344">
        <f>+L54*K54*H54</f>
        <v>0</v>
      </c>
    </row>
    <row r="55" spans="2:13" ht="14.4" customHeight="1" x14ac:dyDescent="0.35">
      <c r="E55" s="445" t="s">
        <v>225</v>
      </c>
      <c r="F55" s="445"/>
      <c r="G55" s="445"/>
      <c r="H55" s="209"/>
      <c r="I55" s="210">
        <f>+J55*K55</f>
        <v>0</v>
      </c>
      <c r="J55" s="296">
        <f>+J47*0</f>
        <v>0</v>
      </c>
      <c r="K55" s="215">
        <f>+((15*2.8)*2.72)*K26</f>
        <v>0</v>
      </c>
      <c r="L55" s="346">
        <v>1.6919982016368774E-2</v>
      </c>
      <c r="M55" s="344">
        <f>+L55*K55</f>
        <v>0</v>
      </c>
    </row>
    <row r="56" spans="2:13" ht="14.4" customHeight="1" x14ac:dyDescent="0.35">
      <c r="E56" s="445" t="s">
        <v>297</v>
      </c>
      <c r="F56" s="445"/>
      <c r="G56" s="445"/>
      <c r="H56" s="209"/>
      <c r="I56" s="210">
        <f>SUM(I54:I55)</f>
        <v>0</v>
      </c>
      <c r="J56" s="214"/>
      <c r="K56" s="246"/>
      <c r="L56" s="347"/>
      <c r="M56" s="349"/>
    </row>
    <row r="57" spans="2:13" ht="14.4" customHeight="1" x14ac:dyDescent="0.3">
      <c r="E57" s="227"/>
      <c r="F57" s="227"/>
      <c r="G57" s="227"/>
      <c r="H57" s="209"/>
      <c r="I57" s="210"/>
      <c r="J57" s="214"/>
      <c r="K57" s="246"/>
      <c r="L57" s="213"/>
      <c r="M57" s="352">
        <f>SUM(M46:M56)</f>
        <v>0</v>
      </c>
    </row>
    <row r="58" spans="2:13" ht="14.4" customHeight="1" x14ac:dyDescent="0.3">
      <c r="L58" s="213"/>
    </row>
    <row r="59" spans="2:13" ht="7.75" customHeight="1" thickBot="1" x14ac:dyDescent="0.35"/>
    <row r="60" spans="2:13" ht="30" customHeight="1" thickBot="1" x14ac:dyDescent="0.35">
      <c r="B60" s="191"/>
      <c r="C60" s="446" t="s">
        <v>88</v>
      </c>
      <c r="D60" s="446"/>
      <c r="E60" s="192"/>
      <c r="F60" s="192"/>
      <c r="G60" s="192"/>
      <c r="H60" s="192"/>
      <c r="I60" s="216"/>
      <c r="J60" s="193"/>
    </row>
    <row r="61" spans="2:13" ht="38" customHeight="1" x14ac:dyDescent="0.3">
      <c r="C61" s="217" t="s">
        <v>89</v>
      </c>
      <c r="D61" s="195">
        <f>SUMPRODUCT((LEFT(G21:G35, 5)="Jumbo") / (COUNTIF(G21:G35, G21:G35 &amp; "") + (G21:G35="")))</f>
        <v>0</v>
      </c>
      <c r="E61" s="447" t="s">
        <v>90</v>
      </c>
      <c r="F61" s="447"/>
      <c r="G61" s="218">
        <v>0.20833333333333334</v>
      </c>
      <c r="I61" s="139"/>
      <c r="J61" s="190"/>
    </row>
    <row r="62" spans="2:13" ht="38" customHeight="1" x14ac:dyDescent="0.3">
      <c r="E62" s="447" t="s">
        <v>93</v>
      </c>
      <c r="F62" s="447"/>
      <c r="G62" s="195">
        <f>15000/(60)</f>
        <v>250</v>
      </c>
      <c r="H62" s="219" t="s">
        <v>143</v>
      </c>
      <c r="I62" s="139"/>
      <c r="J62" s="190"/>
    </row>
    <row r="63" spans="2:13" ht="38" customHeight="1" x14ac:dyDescent="0.3">
      <c r="E63" s="448" t="s">
        <v>91</v>
      </c>
      <c r="F63" s="448"/>
      <c r="G63" s="207" t="e">
        <f>+SUM(SUMIF($G$21:$G$35, "Jumbo*", $J$21:$J$35))/SUMPRODUCT((LEFT(G21:G35, 5)="Jumbo") / (COUNTIF(G21:G35, G21:G35 &amp; "") + (G21:G35="")))</f>
        <v>#DIV/0!</v>
      </c>
      <c r="H63" s="220" t="e">
        <f>+G63*24/($G$61*24)</f>
        <v>#DIV/0!</v>
      </c>
      <c r="I63" s="190"/>
      <c r="J63" s="190"/>
    </row>
    <row r="64" spans="2:13" ht="38" customHeight="1" x14ac:dyDescent="0.3">
      <c r="E64" s="448" t="s">
        <v>92</v>
      </c>
      <c r="F64" s="448"/>
      <c r="G64" s="221" t="e">
        <f>+SUM(V21:V35)/D61</f>
        <v>#DIV/0!</v>
      </c>
      <c r="H64" s="220" t="e">
        <f>+G64/G62</f>
        <v>#DIV/0!</v>
      </c>
      <c r="I64" s="190"/>
      <c r="J64" s="190"/>
    </row>
    <row r="65" spans="2:10" ht="38" customHeight="1" x14ac:dyDescent="0.3">
      <c r="G65" s="222" t="s">
        <v>87</v>
      </c>
      <c r="H65" s="139" t="s">
        <v>23</v>
      </c>
    </row>
    <row r="66" spans="2:10" ht="20" customHeight="1" x14ac:dyDescent="0.3">
      <c r="F66" s="208" t="s">
        <v>65</v>
      </c>
      <c r="G66" s="221">
        <f t="shared" ref="G66:G71" si="9" xml:space="preserve"> SUMIF($G$21:$G$35, +F66,$V$21:$V$35)</f>
        <v>0</v>
      </c>
      <c r="H66" s="220">
        <f t="shared" ref="H66:H71" si="10">+G66/$G$62</f>
        <v>0</v>
      </c>
    </row>
    <row r="67" spans="2:10" ht="20" customHeight="1" x14ac:dyDescent="0.3">
      <c r="F67" s="208" t="s">
        <v>66</v>
      </c>
      <c r="G67" s="221">
        <f t="shared" si="9"/>
        <v>0</v>
      </c>
      <c r="H67" s="220">
        <f t="shared" si="10"/>
        <v>0</v>
      </c>
    </row>
    <row r="68" spans="2:10" ht="20" customHeight="1" x14ac:dyDescent="0.3">
      <c r="F68" s="208" t="s">
        <v>67</v>
      </c>
      <c r="G68" s="221">
        <f t="shared" si="9"/>
        <v>0</v>
      </c>
      <c r="H68" s="220">
        <f t="shared" si="10"/>
        <v>0</v>
      </c>
    </row>
    <row r="69" spans="2:10" ht="20" customHeight="1" x14ac:dyDescent="0.3">
      <c r="F69" s="208" t="s">
        <v>68</v>
      </c>
      <c r="G69" s="221">
        <f t="shared" si="9"/>
        <v>0</v>
      </c>
      <c r="H69" s="220">
        <f t="shared" si="10"/>
        <v>0</v>
      </c>
    </row>
    <row r="70" spans="2:10" ht="20" customHeight="1" x14ac:dyDescent="0.3">
      <c r="F70" s="208" t="s">
        <v>69</v>
      </c>
      <c r="G70" s="221">
        <f t="shared" si="9"/>
        <v>0</v>
      </c>
      <c r="H70" s="220">
        <f t="shared" si="10"/>
        <v>0</v>
      </c>
    </row>
    <row r="71" spans="2:10" ht="20" customHeight="1" x14ac:dyDescent="0.3">
      <c r="F71" s="208" t="s">
        <v>70</v>
      </c>
      <c r="G71" s="221">
        <f t="shared" si="9"/>
        <v>0</v>
      </c>
      <c r="H71" s="220">
        <f t="shared" si="10"/>
        <v>0</v>
      </c>
    </row>
    <row r="72" spans="2:10" ht="20" customHeight="1" x14ac:dyDescent="0.3">
      <c r="F72" s="208" t="s">
        <v>146</v>
      </c>
      <c r="G72" s="223">
        <f>+SUM(G66:G71)</f>
        <v>0</v>
      </c>
      <c r="H72" s="220" t="e">
        <f>+G72/($G$62*$D$61)</f>
        <v>#DIV/0!</v>
      </c>
    </row>
    <row r="73" spans="2:10" ht="13.5" thickBot="1" x14ac:dyDescent="0.35"/>
    <row r="74" spans="2:10" ht="30" customHeight="1" thickBot="1" x14ac:dyDescent="0.35">
      <c r="B74" s="191"/>
      <c r="C74" s="446" t="s">
        <v>107</v>
      </c>
      <c r="D74" s="446"/>
      <c r="E74" s="192"/>
      <c r="F74" s="192"/>
      <c r="G74" s="192"/>
      <c r="H74" s="192"/>
      <c r="I74" s="216"/>
      <c r="J74" s="193"/>
    </row>
    <row r="75" spans="2:10" ht="38" customHeight="1" x14ac:dyDescent="0.3">
      <c r="C75" s="208" t="s">
        <v>95</v>
      </c>
      <c r="D75" s="195">
        <f>SUMPRODUCT((LEFT(G21:G35, 5)="Scoop") / (COUNTIF(G21:G35, G21:G35 &amp; "") + (G21:G35="")))</f>
        <v>1</v>
      </c>
      <c r="E75" s="447" t="s">
        <v>90</v>
      </c>
      <c r="F75" s="447"/>
      <c r="G75" s="218">
        <v>0.20833333333333334</v>
      </c>
      <c r="I75" s="139"/>
      <c r="J75" s="190"/>
    </row>
    <row r="76" spans="2:10" ht="38" customHeight="1" x14ac:dyDescent="0.3">
      <c r="C76" s="208" t="s">
        <v>145</v>
      </c>
      <c r="D76" s="195">
        <v>4.9000000000000004</v>
      </c>
      <c r="E76" s="447" t="s">
        <v>97</v>
      </c>
      <c r="F76" s="447"/>
      <c r="G76" s="195">
        <f>15000/(60)</f>
        <v>250</v>
      </c>
      <c r="H76" s="219" t="s">
        <v>23</v>
      </c>
      <c r="I76" s="139"/>
      <c r="J76" s="190"/>
    </row>
    <row r="77" spans="2:10" ht="38" customHeight="1" x14ac:dyDescent="0.3">
      <c r="E77" s="448" t="s">
        <v>98</v>
      </c>
      <c r="F77" s="448"/>
      <c r="G77" s="207">
        <f>+SUM(SUMIF($G$21:$G$35, "Scoop*", $J$21:$J$35))/SUMPRODUCT((LEFT(G21:G35, 5)="Scoop") / (COUNTIF(G21:G35, G21:G35 &amp; "") + (G21:G35="")))</f>
        <v>0.25</v>
      </c>
      <c r="H77" s="220">
        <f>+G77*24/($G$75*24)</f>
        <v>1.2</v>
      </c>
      <c r="I77" s="190"/>
      <c r="J77" s="190"/>
    </row>
    <row r="78" spans="2:10" ht="38" customHeight="1" x14ac:dyDescent="0.3">
      <c r="E78" s="448" t="s">
        <v>99</v>
      </c>
      <c r="F78" s="448"/>
      <c r="G78" s="221">
        <f>+SUM(W21:W35)*D76/D75</f>
        <v>0</v>
      </c>
      <c r="H78" s="220">
        <f>+G78/G76</f>
        <v>0</v>
      </c>
      <c r="I78" s="190"/>
      <c r="J78" s="190"/>
    </row>
    <row r="79" spans="2:10" ht="38" customHeight="1" x14ac:dyDescent="0.3">
      <c r="G79" s="222" t="s">
        <v>96</v>
      </c>
      <c r="H79" s="139" t="s">
        <v>23</v>
      </c>
    </row>
    <row r="80" spans="2:10" ht="20" customHeight="1" x14ac:dyDescent="0.3">
      <c r="F80" s="208" t="s">
        <v>71</v>
      </c>
      <c r="G80" s="221">
        <f t="shared" ref="G80:G85" si="11" xml:space="preserve"> SUMIF($G$21:$G$35, +F80,$W$21:$W$35)*$D$76</f>
        <v>0</v>
      </c>
      <c r="H80" s="220">
        <f>+G80/$G$76</f>
        <v>0</v>
      </c>
    </row>
    <row r="81" spans="2:10" ht="20" customHeight="1" x14ac:dyDescent="0.3">
      <c r="F81" s="208" t="s">
        <v>72</v>
      </c>
      <c r="G81" s="221">
        <f t="shared" si="11"/>
        <v>0</v>
      </c>
      <c r="H81" s="220">
        <f t="shared" ref="H81:H86" si="12">+G81/$G$76</f>
        <v>0</v>
      </c>
    </row>
    <row r="82" spans="2:10" ht="20" customHeight="1" x14ac:dyDescent="0.3">
      <c r="F82" s="208" t="s">
        <v>73</v>
      </c>
      <c r="G82" s="221">
        <f t="shared" si="11"/>
        <v>0</v>
      </c>
      <c r="H82" s="220">
        <f t="shared" si="12"/>
        <v>0</v>
      </c>
    </row>
    <row r="83" spans="2:10" ht="20" customHeight="1" x14ac:dyDescent="0.3">
      <c r="F83" s="208" t="s">
        <v>74</v>
      </c>
      <c r="G83" s="221">
        <f t="shared" si="11"/>
        <v>0</v>
      </c>
      <c r="H83" s="220">
        <f t="shared" si="12"/>
        <v>0</v>
      </c>
    </row>
    <row r="84" spans="2:10" ht="20" customHeight="1" x14ac:dyDescent="0.3">
      <c r="F84" s="208" t="s">
        <v>75</v>
      </c>
      <c r="G84" s="221">
        <f t="shared" si="11"/>
        <v>0</v>
      </c>
      <c r="H84" s="220">
        <f t="shared" si="12"/>
        <v>0</v>
      </c>
    </row>
    <row r="85" spans="2:10" ht="20" customHeight="1" x14ac:dyDescent="0.3">
      <c r="F85" s="208" t="s">
        <v>76</v>
      </c>
      <c r="G85" s="221">
        <f t="shared" si="11"/>
        <v>0</v>
      </c>
      <c r="H85" s="220">
        <f t="shared" si="12"/>
        <v>0</v>
      </c>
    </row>
    <row r="86" spans="2:10" ht="20" customHeight="1" x14ac:dyDescent="0.3">
      <c r="F86" s="208" t="s">
        <v>146</v>
      </c>
      <c r="G86" s="223">
        <f>+SUM(G80:G85)</f>
        <v>0</v>
      </c>
      <c r="H86" s="220">
        <f t="shared" si="12"/>
        <v>0</v>
      </c>
    </row>
    <row r="87" spans="2:10" ht="13.5" thickBot="1" x14ac:dyDescent="0.35"/>
    <row r="88" spans="2:10" ht="30" customHeight="1" thickBot="1" x14ac:dyDescent="0.35">
      <c r="B88" s="191"/>
      <c r="C88" s="446" t="s">
        <v>149</v>
      </c>
      <c r="D88" s="446"/>
      <c r="E88" s="192"/>
      <c r="F88" s="192"/>
      <c r="G88" s="192"/>
      <c r="H88" s="192"/>
      <c r="I88" s="216"/>
      <c r="J88" s="193"/>
    </row>
    <row r="89" spans="2:10" ht="25.25" customHeight="1" x14ac:dyDescent="0.3">
      <c r="C89" s="208" t="s">
        <v>150</v>
      </c>
      <c r="D89" s="195">
        <f>SUMPRODUCT((LEFT(G21:G35, 8)="Roboshot") / (COUNTIF(G21:G35, G21:G35 &amp; "") + (G21:G35="")))</f>
        <v>0</v>
      </c>
      <c r="E89" s="447" t="s">
        <v>90</v>
      </c>
      <c r="F89" s="447"/>
      <c r="G89" s="218">
        <v>0.20833333333333334</v>
      </c>
    </row>
    <row r="90" spans="2:10" x14ac:dyDescent="0.3">
      <c r="C90" s="208"/>
      <c r="D90" s="195"/>
      <c r="E90" s="447" t="s">
        <v>97</v>
      </c>
      <c r="F90" s="447"/>
      <c r="G90" s="195">
        <v>12</v>
      </c>
      <c r="H90" s="219" t="s">
        <v>23</v>
      </c>
    </row>
    <row r="92" spans="2:10" x14ac:dyDescent="0.3">
      <c r="G92" s="222" t="s">
        <v>96</v>
      </c>
      <c r="H92" s="139" t="s">
        <v>23</v>
      </c>
    </row>
    <row r="93" spans="2:10" x14ac:dyDescent="0.3">
      <c r="F93" s="208" t="s">
        <v>77</v>
      </c>
      <c r="G93" s="221">
        <f xml:space="preserve"> SUMIF($G$21:$G$35, +F93,$X$21:$X$35)</f>
        <v>0</v>
      </c>
      <c r="H93" s="220">
        <f>+G93/$G$90</f>
        <v>0</v>
      </c>
    </row>
    <row r="94" spans="2:10" x14ac:dyDescent="0.3">
      <c r="F94" s="208" t="s">
        <v>78</v>
      </c>
      <c r="G94" s="221">
        <f xml:space="preserve"> SUMIF($G$21:$G$35, +F94,$X$21:$X$35)</f>
        <v>0</v>
      </c>
      <c r="H94" s="220">
        <f t="shared" ref="H94:H95" si="13">+G94/$G$90</f>
        <v>0</v>
      </c>
    </row>
    <row r="95" spans="2:10" x14ac:dyDescent="0.3">
      <c r="F95" s="208" t="s">
        <v>79</v>
      </c>
      <c r="G95" s="221">
        <f xml:space="preserve"> SUMIF($G$21:$G$35, +F95,$X$21:$X$35)</f>
        <v>0</v>
      </c>
      <c r="H95" s="220">
        <f t="shared" si="13"/>
        <v>0</v>
      </c>
    </row>
    <row r="96" spans="2:10" x14ac:dyDescent="0.3">
      <c r="F96" s="208" t="s">
        <v>146</v>
      </c>
      <c r="G96" s="223">
        <f>+SUM(G93:G95)</f>
        <v>0</v>
      </c>
      <c r="H96" s="220">
        <f>+G96/$G$90</f>
        <v>0</v>
      </c>
    </row>
  </sheetData>
  <mergeCells count="41">
    <mergeCell ref="E90:F90"/>
    <mergeCell ref="C74:D74"/>
    <mergeCell ref="E75:F75"/>
    <mergeCell ref="E76:F76"/>
    <mergeCell ref="E77:F77"/>
    <mergeCell ref="E78:F78"/>
    <mergeCell ref="C88:D88"/>
    <mergeCell ref="C60:D60"/>
    <mergeCell ref="E61:F61"/>
    <mergeCell ref="E62:F62"/>
    <mergeCell ref="E63:F63"/>
    <mergeCell ref="E89:F89"/>
    <mergeCell ref="E64:F64"/>
    <mergeCell ref="E49:G49"/>
    <mergeCell ref="E50:G50"/>
    <mergeCell ref="E51:G51"/>
    <mergeCell ref="E52:G52"/>
    <mergeCell ref="E54:G54"/>
    <mergeCell ref="E55:G55"/>
    <mergeCell ref="E56:G56"/>
    <mergeCell ref="E48:G48"/>
    <mergeCell ref="K9:L9"/>
    <mergeCell ref="K10:L10"/>
    <mergeCell ref="K11:L11"/>
    <mergeCell ref="K12:L12"/>
    <mergeCell ref="B14:S14"/>
    <mergeCell ref="C40:D40"/>
    <mergeCell ref="G40:H40"/>
    <mergeCell ref="I40:J40"/>
    <mergeCell ref="K40:L40"/>
    <mergeCell ref="E41:F41"/>
    <mergeCell ref="E42:F42"/>
    <mergeCell ref="E43:F43"/>
    <mergeCell ref="E46:G46"/>
    <mergeCell ref="E47:G47"/>
    <mergeCell ref="K8:L8"/>
    <mergeCell ref="B1:D4"/>
    <mergeCell ref="E2:R2"/>
    <mergeCell ref="E3:R4"/>
    <mergeCell ref="K6:L6"/>
    <mergeCell ref="K7:L7"/>
  </mergeCells>
  <conditionalFormatting sqref="H42:H43 J42:J43">
    <cfRule type="cellIs" dxfId="293" priority="13" operator="greaterThan">
      <formula>0.9</formula>
    </cfRule>
    <cfRule type="cellIs" dxfId="292" priority="14" operator="between">
      <formula>0.81</formula>
      <formula>0.89</formula>
    </cfRule>
    <cfRule type="cellIs" dxfId="291" priority="15" operator="lessThan">
      <formula>0.8</formula>
    </cfRule>
  </conditionalFormatting>
  <conditionalFormatting sqref="H63:H64">
    <cfRule type="cellIs" dxfId="290" priority="16" operator="greaterThan">
      <formula>0.9</formula>
    </cfRule>
    <cfRule type="cellIs" dxfId="289" priority="17" operator="between">
      <formula>0.81</formula>
      <formula>0.89</formula>
    </cfRule>
    <cfRule type="cellIs" dxfId="288" priority="18" operator="lessThan">
      <formula>0.8</formula>
    </cfRule>
  </conditionalFormatting>
  <conditionalFormatting sqref="H66:H72">
    <cfRule type="cellIs" dxfId="287" priority="19" operator="greaterThan">
      <formula>0.9</formula>
    </cfRule>
    <cfRule type="cellIs" dxfId="286" priority="20" operator="between">
      <formula>0.81</formula>
      <formula>0.89</formula>
    </cfRule>
    <cfRule type="cellIs" dxfId="285" priority="21" operator="lessThan">
      <formula>0.8</formula>
    </cfRule>
  </conditionalFormatting>
  <conditionalFormatting sqref="H77:H78">
    <cfRule type="cellIs" dxfId="284" priority="7" operator="greaterThan">
      <formula>0.9</formula>
    </cfRule>
    <cfRule type="cellIs" dxfId="283" priority="8" operator="between">
      <formula>0.81</formula>
      <formula>0.89</formula>
    </cfRule>
    <cfRule type="cellIs" dxfId="282" priority="9" operator="lessThan">
      <formula>0.8</formula>
    </cfRule>
  </conditionalFormatting>
  <conditionalFormatting sqref="H80:H86">
    <cfRule type="cellIs" dxfId="281" priority="10" operator="greaterThan">
      <formula>0.9</formula>
    </cfRule>
    <cfRule type="cellIs" dxfId="280" priority="11" operator="between">
      <formula>0.81</formula>
      <formula>0.89</formula>
    </cfRule>
    <cfRule type="cellIs" dxfId="279" priority="12" operator="lessThan">
      <formula>0.8</formula>
    </cfRule>
  </conditionalFormatting>
  <conditionalFormatting sqref="H93:H96">
    <cfRule type="cellIs" dxfId="278" priority="4" operator="greaterThan">
      <formula>0.9</formula>
    </cfRule>
    <cfRule type="cellIs" dxfId="277" priority="5" operator="between">
      <formula>0.81</formula>
      <formula>0.89</formula>
    </cfRule>
    <cfRule type="cellIs" dxfId="276" priority="6" operator="lessThan">
      <formula>0.8</formula>
    </cfRule>
  </conditionalFormatting>
  <conditionalFormatting sqref="L42:L43">
    <cfRule type="cellIs" dxfId="275" priority="1" operator="greaterThan">
      <formula>0.9</formula>
    </cfRule>
    <cfRule type="cellIs" dxfId="274" priority="2" operator="between">
      <formula>0.81</formula>
      <formula>0.89</formula>
    </cfRule>
    <cfRule type="cellIs" dxfId="273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3C4D8B5-089D-46A9-BCC5-4C44C39AFCE0}">
          <x14:formula1>
            <xm:f>Datos!$F$3:$F$41</xm:f>
          </x14:formula1>
          <xm:sqref>G30:G38 G21:G27</xm:sqref>
        </x14:dataValidation>
        <x14:dataValidation type="list" allowBlank="1" showInputMessage="1" showErrorMessage="1" xr:uid="{745D9699-47B1-44B3-AC04-B8CAC1BC906C}">
          <x14:formula1>
            <xm:f>Datos!$W$3:$W$12</xm:f>
          </x14:formula1>
          <xm:sqref>L30:L38 L21:L27</xm:sqref>
        </x14:dataValidation>
        <x14:dataValidation type="list" allowBlank="1" showInputMessage="1" showErrorMessage="1" xr:uid="{D771BB38-608C-4163-A388-AC3D85E65CA7}">
          <x14:formula1>
            <xm:f>Datos!$D$3:$D$27</xm:f>
          </x14:formula1>
          <xm:sqref>F30:F38 F21:F27</xm:sqref>
        </x14:dataValidation>
        <x14:dataValidation type="list" allowBlank="1" showInputMessage="1" showErrorMessage="1" xr:uid="{EA7AF81B-89F5-4AB2-9CDC-9FDBD3689C58}">
          <x14:formula1>
            <xm:f>Datos!$B$3:$B$8</xm:f>
          </x14:formula1>
          <xm:sqref>E30:E38 E21:E27</xm:sqref>
        </x14:dataValidation>
        <x14:dataValidation type="list" allowBlank="1" showInputMessage="1" showErrorMessage="1" xr:uid="{C0262BFE-F8FE-41C6-A653-88848E56E61A}">
          <x14:formula1>
            <xm:f>Datos!$H$3:$H$34</xm:f>
          </x14:formula1>
          <xm:sqref>D30:D37 D21:D26</xm:sqref>
        </x14:dataValidation>
        <x14:dataValidation type="list" allowBlank="1" showInputMessage="1" showErrorMessage="1" xr:uid="{09875E4E-5A82-4CDA-8FB0-C3390E9898DB}">
          <x14:formula1>
            <xm:f>Datos!$H$3:$H$26</xm:f>
          </x14:formula1>
          <xm:sqref>D27 D38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6312-FE97-42A2-9BE6-62C52BA55E87}">
  <sheetPr>
    <pageSetUpPr fitToPage="1"/>
  </sheetPr>
  <dimension ref="B1:X94"/>
  <sheetViews>
    <sheetView showGridLines="0" topLeftCell="A19" zoomScale="85" zoomScaleNormal="85" zoomScaleSheetLayoutView="50" workbookViewId="0">
      <pane xSplit="3" ySplit="2" topLeftCell="D21" activePane="bottomRight" state="frozen"/>
      <selection activeCell="D25" sqref="D25"/>
      <selection pane="topRight" activeCell="D25" sqref="D25"/>
      <selection pane="bottomLeft" activeCell="D25" sqref="D25"/>
      <selection pane="bottomRight" activeCell="D22" sqref="D22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+G40</f>
        <v>0.17777777777777778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+H41</f>
        <v>0.5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+G70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+G84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+G94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110</v>
      </c>
      <c r="E21" s="172" t="s">
        <v>6</v>
      </c>
      <c r="F21" s="172" t="s">
        <v>165</v>
      </c>
      <c r="G21" s="172"/>
      <c r="H21" s="174">
        <v>0.90625</v>
      </c>
      <c r="I21" s="174">
        <v>0.91597222222222219</v>
      </c>
      <c r="J21" s="175">
        <f t="shared" ref="J21:J24" si="0">MOD(I21-H21, 1)</f>
        <v>9.7222222222221877E-3</v>
      </c>
      <c r="K21" s="178"/>
      <c r="L21" s="177"/>
      <c r="M21" s="178"/>
      <c r="N21" s="179">
        <v>1</v>
      </c>
      <c r="O21" s="186" t="s">
        <v>460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114</v>
      </c>
      <c r="E22" s="172" t="s">
        <v>6</v>
      </c>
      <c r="F22" s="172" t="s">
        <v>165</v>
      </c>
      <c r="G22" s="172"/>
      <c r="H22" s="174">
        <v>0.91666666666666663</v>
      </c>
      <c r="I22" s="174">
        <v>1</v>
      </c>
      <c r="J22" s="175">
        <f t="shared" si="0"/>
        <v>8.333333333333337E-2</v>
      </c>
      <c r="K22" s="178">
        <v>25</v>
      </c>
      <c r="L22" s="177"/>
      <c r="M22" s="178"/>
      <c r="N22" s="179">
        <v>0</v>
      </c>
      <c r="O22" s="186" t="s">
        <v>468</v>
      </c>
      <c r="P22" s="181"/>
      <c r="Q22" s="174"/>
      <c r="R22" s="172"/>
      <c r="S22" s="175">
        <f t="shared" ref="S22:S25" si="1">+MOD(R22-Q22,1)</f>
        <v>0</v>
      </c>
      <c r="U22" s="182">
        <f>+IFERROR(VLOOKUP(D22,Datos!$R$3:$T$19,3,FALSE), "0")*N22</f>
        <v>0</v>
      </c>
      <c r="V22" s="183" t="str">
        <f t="shared" ref="V22:V25" si="2">IF(OR(D22="Perforación de Fortificación", D22="Perforación de Avance", D22="Perforación Desquinche"), K22*M22, "")</f>
        <v/>
      </c>
      <c r="W22" s="183" t="str">
        <f t="shared" ref="W22:W25" si="3">IF(D22="Extracción de Marina Disparo",K22,"")</f>
        <v/>
      </c>
      <c r="X22" s="183" t="str">
        <f t="shared" ref="X22:X25" si="4">IF(OR(D22="Shotcrete", D22="Pre Shotcrete"), K22, "")</f>
        <v/>
      </c>
    </row>
    <row r="23" spans="2:24" ht="38" customHeight="1" x14ac:dyDescent="0.3">
      <c r="B23" s="172">
        <v>3500</v>
      </c>
      <c r="C23" s="173" t="s">
        <v>493</v>
      </c>
      <c r="D23" s="173" t="s">
        <v>51</v>
      </c>
      <c r="E23" s="172" t="s">
        <v>6</v>
      </c>
      <c r="F23" s="172" t="s">
        <v>165</v>
      </c>
      <c r="G23" s="172" t="s">
        <v>212</v>
      </c>
      <c r="H23" s="174">
        <v>0</v>
      </c>
      <c r="I23" s="174">
        <v>8.4722222222222227E-2</v>
      </c>
      <c r="J23" s="175">
        <f t="shared" si="0"/>
        <v>8.4722222222222227E-2</v>
      </c>
      <c r="K23" s="178"/>
      <c r="L23" s="177"/>
      <c r="M23" s="178"/>
      <c r="N23" s="179">
        <v>0</v>
      </c>
      <c r="O23" s="186" t="s">
        <v>494</v>
      </c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105</v>
      </c>
      <c r="E24" s="172" t="s">
        <v>6</v>
      </c>
      <c r="F24" s="172" t="s">
        <v>165</v>
      </c>
      <c r="G24" s="172" t="s">
        <v>204</v>
      </c>
      <c r="H24" s="174">
        <v>8.7499999999999994E-2</v>
      </c>
      <c r="I24" s="174">
        <v>0.24166666666666667</v>
      </c>
      <c r="J24" s="175">
        <f t="shared" si="0"/>
        <v>0.15416666666666667</v>
      </c>
      <c r="K24" s="178">
        <v>28</v>
      </c>
      <c r="L24" s="177" t="s">
        <v>128</v>
      </c>
      <c r="M24" s="178"/>
      <c r="N24" s="179">
        <v>1</v>
      </c>
      <c r="O24" s="186" t="s">
        <v>495</v>
      </c>
      <c r="P24" s="181"/>
      <c r="Q24" s="174"/>
      <c r="R24" s="172"/>
      <c r="S24" s="175">
        <f t="shared" si="1"/>
        <v>0</v>
      </c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 t="s">
        <v>329</v>
      </c>
      <c r="J25" s="175">
        <f>MOD(I24-H21, 1)</f>
        <v>0.3354166666666667</v>
      </c>
      <c r="K25" s="178"/>
      <c r="L25" s="177"/>
      <c r="M25" s="178"/>
      <c r="N25" s="179"/>
      <c r="O25" s="186" t="s">
        <v>436</v>
      </c>
      <c r="P25" s="172"/>
      <c r="Q25" s="172"/>
      <c r="R25" s="172"/>
      <c r="S25" s="175">
        <f t="shared" si="1"/>
        <v>0</v>
      </c>
      <c r="U25" s="182">
        <f>SUM(U21:U23)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x14ac:dyDescent="0.3">
      <c r="B26" s="185" t="s">
        <v>158</v>
      </c>
      <c r="C26" s="63" t="s">
        <v>194</v>
      </c>
      <c r="D26" s="63"/>
      <c r="E26" s="63"/>
      <c r="F26" s="63"/>
      <c r="G26" s="63"/>
      <c r="H26" s="63"/>
      <c r="I26" s="63"/>
      <c r="J26" s="64"/>
      <c r="K26" s="64"/>
      <c r="L26" s="171"/>
      <c r="M26" s="63"/>
      <c r="N26" s="64"/>
      <c r="O26" s="64"/>
      <c r="P26" s="63"/>
      <c r="Q26" s="63"/>
      <c r="R26" s="63"/>
      <c r="S26" s="64"/>
      <c r="U26" s="63"/>
      <c r="V26" s="64"/>
      <c r="W26" s="64"/>
      <c r="X26" s="64"/>
    </row>
    <row r="27" spans="2:24" ht="52" x14ac:dyDescent="0.3">
      <c r="B27" s="63" t="s">
        <v>3</v>
      </c>
      <c r="C27" s="63" t="s">
        <v>2</v>
      </c>
      <c r="D27" s="63" t="s">
        <v>5</v>
      </c>
      <c r="E27" s="63" t="s">
        <v>22</v>
      </c>
      <c r="F27" s="63" t="s">
        <v>139</v>
      </c>
      <c r="G27" s="63" t="s">
        <v>29</v>
      </c>
      <c r="H27" s="63" t="s">
        <v>121</v>
      </c>
      <c r="I27" s="63" t="s">
        <v>4</v>
      </c>
      <c r="J27" s="64" t="s">
        <v>122</v>
      </c>
      <c r="K27" s="64" t="s">
        <v>131</v>
      </c>
      <c r="L27" s="171" t="s">
        <v>123</v>
      </c>
      <c r="M27" s="63" t="s">
        <v>134</v>
      </c>
      <c r="N27" s="64" t="s">
        <v>24</v>
      </c>
      <c r="O27" s="64" t="s">
        <v>130</v>
      </c>
      <c r="P27" s="63" t="s">
        <v>132</v>
      </c>
      <c r="Q27" s="63" t="s">
        <v>121</v>
      </c>
      <c r="R27" s="63" t="s">
        <v>4</v>
      </c>
      <c r="S27" s="64" t="s">
        <v>137</v>
      </c>
      <c r="U27" s="63" t="s">
        <v>109</v>
      </c>
      <c r="V27" s="64" t="s">
        <v>87</v>
      </c>
      <c r="W27" s="64" t="s">
        <v>128</v>
      </c>
      <c r="X27" s="64" t="s">
        <v>128</v>
      </c>
    </row>
    <row r="28" spans="2:24" ht="38" customHeight="1" x14ac:dyDescent="0.3">
      <c r="B28" s="172">
        <v>3700</v>
      </c>
      <c r="C28" s="173" t="str">
        <f>+Datos!$R$23</f>
        <v>Ciclo Minero 5,2 x 5,6 m
Galería Acceso Portal de Servicio</v>
      </c>
      <c r="D28" s="173" t="s">
        <v>110</v>
      </c>
      <c r="E28" s="172" t="s">
        <v>6</v>
      </c>
      <c r="F28" s="172" t="s">
        <v>166</v>
      </c>
      <c r="G28" s="172"/>
      <c r="H28" s="174">
        <v>0.83333333333333337</v>
      </c>
      <c r="I28" s="174">
        <v>1.3333333333333333</v>
      </c>
      <c r="J28" s="175">
        <f>I28-H28</f>
        <v>0.49999999999999989</v>
      </c>
      <c r="K28" s="178"/>
      <c r="L28" s="177"/>
      <c r="M28" s="178"/>
      <c r="N28" s="179">
        <v>1</v>
      </c>
      <c r="O28" s="186" t="s">
        <v>428</v>
      </c>
      <c r="P28" s="225"/>
      <c r="Q28" s="174"/>
      <c r="R28" s="174"/>
      <c r="S28" s="175"/>
      <c r="U28" s="187">
        <f>+IFERROR(VLOOKUP(D28,Datos!$R$24:$T$40,3,FALSE), "0")*N28</f>
        <v>0</v>
      </c>
      <c r="V28" s="183" t="str">
        <f t="shared" ref="V28:V36" si="5">IF(OR(D28="Perforación de Fortificación", D28="Perforación de Avance", D28="Perforación Desquinche"), K28*M28, "")</f>
        <v/>
      </c>
      <c r="W28" s="183" t="str">
        <f>IF(D28="Extracción de Marina Disparo",K28,"")</f>
        <v/>
      </c>
      <c r="X28" s="183" t="str">
        <f t="shared" ref="X28:X36" si="6">IF(OR(D28="Shotcrete", D28="Pre Shotcrete"), K28, "")</f>
        <v/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/>
      <c r="E29" s="172"/>
      <c r="F29" s="172"/>
      <c r="G29" s="172"/>
      <c r="H29" s="174"/>
      <c r="I29" s="174"/>
      <c r="J29" s="175"/>
      <c r="K29" s="178"/>
      <c r="L29" s="177"/>
      <c r="M29" s="178"/>
      <c r="N29" s="179"/>
      <c r="O29" s="225"/>
      <c r="P29" s="173"/>
      <c r="Q29" s="174"/>
      <c r="R29" s="174"/>
      <c r="S29" s="175"/>
      <c r="U29" s="187">
        <f>+IFERROR(VLOOKUP(D29,Datos!$R$24:$T$40,3,FALSE), "0")*N29</f>
        <v>0</v>
      </c>
      <c r="V29" s="183" t="str">
        <f t="shared" si="5"/>
        <v/>
      </c>
      <c r="W29" s="183" t="str">
        <f>IF(D29="Extracción de Marina Disparo",K29,"")</f>
        <v/>
      </c>
      <c r="X29" s="183" t="str">
        <f t="shared" si="6"/>
        <v/>
      </c>
    </row>
    <row r="30" spans="2:24" ht="53.4" customHeight="1" x14ac:dyDescent="0.3">
      <c r="B30" s="172">
        <v>3700</v>
      </c>
      <c r="C30" s="173" t="str">
        <f>+C28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81"/>
      <c r="Q30" s="174"/>
      <c r="R30" s="174"/>
      <c r="S30" s="175"/>
      <c r="U30" s="187">
        <f>+IFERROR(VLOOKUP(D30,Datos!$R$24:$T$40,3,FALSE), "0")*N30</f>
        <v>0</v>
      </c>
      <c r="V30" s="183" t="str">
        <f t="shared" si="5"/>
        <v/>
      </c>
      <c r="W30" s="183" t="str">
        <f t="shared" ref="W30:W36" si="7">IF(D30="Extracción de Marina Disparo",K30,"")</f>
        <v/>
      </c>
      <c r="X30" s="183" t="str">
        <f t="shared" si="6"/>
        <v/>
      </c>
    </row>
    <row r="31" spans="2:24" ht="38" customHeight="1" x14ac:dyDescent="0.3">
      <c r="B31" s="172">
        <v>3700</v>
      </c>
      <c r="C31" s="173" t="s">
        <v>397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186"/>
      <c r="P31" s="172"/>
      <c r="Q31" s="172"/>
      <c r="R31" s="172"/>
      <c r="S31" s="175"/>
      <c r="U31" s="187">
        <f>+IFERROR(VLOOKUP(D31,Datos!$R$24:$T$40,3,FALSE), "0")*N31</f>
        <v>0</v>
      </c>
      <c r="V31" s="183" t="str">
        <f t="shared" si="5"/>
        <v/>
      </c>
      <c r="W31" s="183" t="str">
        <f t="shared" si="7"/>
        <v/>
      </c>
      <c r="X31" s="183"/>
    </row>
    <row r="32" spans="2:24" ht="38" customHeight="1" x14ac:dyDescent="0.3">
      <c r="B32" s="172">
        <v>3700</v>
      </c>
      <c r="C32" s="173" t="str">
        <f>+C31</f>
        <v>Fróntón Bodega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5"/>
        <v/>
      </c>
      <c r="W32" s="183" t="str">
        <f t="shared" si="7"/>
        <v/>
      </c>
      <c r="X32" s="183" t="str">
        <f t="shared" si="6"/>
        <v/>
      </c>
    </row>
    <row r="33" spans="2:24" ht="38" customHeight="1" x14ac:dyDescent="0.3">
      <c r="B33" s="172"/>
      <c r="C33" s="173"/>
      <c r="D33" s="173"/>
      <c r="E33" s="172"/>
      <c r="F33" s="172"/>
      <c r="G33" s="172"/>
      <c r="H33" s="174"/>
      <c r="I33" s="174"/>
      <c r="J33" s="175">
        <f>MOD(I33-H33, 1)</f>
        <v>0</v>
      </c>
      <c r="K33" s="178"/>
      <c r="L33" s="177"/>
      <c r="M33" s="178"/>
      <c r="N33" s="179"/>
      <c r="O33" s="225"/>
      <c r="P33" s="172"/>
      <c r="Q33" s="172"/>
      <c r="R33" s="172"/>
      <c r="S33" s="175">
        <f t="shared" ref="S33:S36" si="8">+MOD(R33-Q33,1)</f>
        <v>0</v>
      </c>
      <c r="U33" s="187">
        <f>+IFERROR(VLOOKUP(D33,Datos!$R$24:$T$40,3,FALSE), "0")*N33</f>
        <v>0</v>
      </c>
      <c r="V33" s="183" t="str">
        <f t="shared" si="5"/>
        <v/>
      </c>
      <c r="W33" s="183" t="str">
        <f t="shared" si="7"/>
        <v/>
      </c>
      <c r="X33" s="183" t="str">
        <f t="shared" si="6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186"/>
      <c r="P34" s="172"/>
      <c r="Q34" s="172"/>
      <c r="R34" s="172"/>
      <c r="S34" s="175">
        <f t="shared" si="8"/>
        <v>0</v>
      </c>
      <c r="U34" s="187"/>
      <c r="V34" s="183" t="str">
        <f t="shared" si="5"/>
        <v/>
      </c>
      <c r="W34" s="183" t="str">
        <f t="shared" si="7"/>
        <v/>
      </c>
      <c r="X34" s="183" t="str">
        <f t="shared" si="6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8"/>
        <v>0</v>
      </c>
      <c r="U35" s="187"/>
      <c r="V35" s="183" t="str">
        <f t="shared" si="5"/>
        <v/>
      </c>
      <c r="W35" s="183" t="str">
        <f t="shared" si="7"/>
        <v/>
      </c>
      <c r="X35" s="183" t="str">
        <f t="shared" si="6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 t="s">
        <v>329</v>
      </c>
      <c r="J36" s="175"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8"/>
        <v>0</v>
      </c>
      <c r="U36" s="182">
        <f>SUM(U28:U35)</f>
        <v>0</v>
      </c>
      <c r="V36" s="183" t="str">
        <f t="shared" si="5"/>
        <v/>
      </c>
      <c r="W36" s="183" t="str">
        <f t="shared" si="7"/>
        <v/>
      </c>
      <c r="X36" s="183" t="str">
        <f t="shared" si="6"/>
        <v/>
      </c>
    </row>
    <row r="37" spans="2:24" ht="15.65" customHeight="1" thickBot="1" x14ac:dyDescent="0.35">
      <c r="B37" s="190"/>
      <c r="C37" s="190"/>
      <c r="D37" s="190"/>
      <c r="E37" s="190"/>
      <c r="F37" s="190"/>
      <c r="G37" s="190"/>
      <c r="H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</row>
    <row r="38" spans="2:24" ht="30" customHeight="1" thickBot="1" x14ac:dyDescent="0.35">
      <c r="B38" s="191"/>
      <c r="C38" s="446" t="s">
        <v>64</v>
      </c>
      <c r="D38" s="446"/>
      <c r="E38" s="192"/>
      <c r="F38" s="192"/>
      <c r="G38" s="431">
        <v>3500</v>
      </c>
      <c r="H38" s="432"/>
      <c r="I38" s="431">
        <v>3700</v>
      </c>
      <c r="J38" s="432"/>
      <c r="K38" s="433" t="s">
        <v>146</v>
      </c>
      <c r="L38" s="434"/>
      <c r="M38" s="190"/>
      <c r="N38" s="190"/>
      <c r="O38" s="190"/>
      <c r="P38" s="190"/>
      <c r="Q38" s="190"/>
      <c r="R38" s="190"/>
      <c r="S38" s="190"/>
    </row>
    <row r="39" spans="2:24" ht="30" customHeight="1" x14ac:dyDescent="0.3">
      <c r="C39" s="194" t="s">
        <v>48</v>
      </c>
      <c r="D39" s="195">
        <f>SUMPRODUCT((LEFT(F21:F33, 1)="C") / (COUNTIF(F21:F33, F21:F33 &amp; "") + (F21:F33="")))</f>
        <v>0</v>
      </c>
      <c r="E39" s="447" t="s">
        <v>90</v>
      </c>
      <c r="F39" s="447"/>
      <c r="G39" s="196">
        <v>0.26041666666666669</v>
      </c>
      <c r="H39" s="197" t="s">
        <v>23</v>
      </c>
      <c r="I39" s="196">
        <v>0.26041666666666669</v>
      </c>
      <c r="J39" s="197" t="s">
        <v>23</v>
      </c>
      <c r="K39" s="198">
        <f>+G39</f>
        <v>0.26041666666666669</v>
      </c>
      <c r="L39" s="197" t="s">
        <v>23</v>
      </c>
      <c r="M39" s="190"/>
      <c r="N39" s="190"/>
      <c r="O39" s="190"/>
      <c r="P39" s="190"/>
      <c r="Q39" s="190"/>
      <c r="R39" s="190"/>
      <c r="S39" s="190"/>
    </row>
    <row r="40" spans="2:24" x14ac:dyDescent="0.3">
      <c r="C40" s="194" t="s">
        <v>49</v>
      </c>
      <c r="D40" s="195">
        <f>SUMPRODUCT((LEFT(F21:F33, 1)="O") / (COUNTIF(F21:F33, F21:F33 &amp; "") + (F21:F33="")))</f>
        <v>0</v>
      </c>
      <c r="E40" s="448" t="s">
        <v>198</v>
      </c>
      <c r="F40" s="448"/>
      <c r="G40" s="199">
        <f>SUM(J21:J23)</f>
        <v>0.17777777777777778</v>
      </c>
      <c r="H40" s="200">
        <f>+G40*24/($G$39*24)</f>
        <v>0.68266666666666664</v>
      </c>
      <c r="I40" s="199">
        <f>SUM(J28:J33)</f>
        <v>0.49999999999999989</v>
      </c>
      <c r="J40" s="200">
        <f>+I40*24/($I$39*24)</f>
        <v>1.9199999999999995</v>
      </c>
      <c r="K40" s="201">
        <f>AVERAGE(G40+I40)/2</f>
        <v>0.33888888888888885</v>
      </c>
      <c r="L40" s="200">
        <f>+K40*24/($K$39*24)</f>
        <v>1.3013333333333332</v>
      </c>
      <c r="M40" s="190"/>
      <c r="N40" s="190"/>
      <c r="O40" s="190"/>
      <c r="P40" s="190"/>
      <c r="Q40" s="190"/>
      <c r="R40" s="190"/>
      <c r="S40" s="190"/>
    </row>
    <row r="41" spans="2:24" ht="43.25" customHeight="1" thickBot="1" x14ac:dyDescent="0.35">
      <c r="E41" s="448" t="s">
        <v>94</v>
      </c>
      <c r="F41" s="448"/>
      <c r="G41" s="202"/>
      <c r="H41" s="203">
        <f>+AVERAGE(N21:N25)</f>
        <v>0.5</v>
      </c>
      <c r="I41" s="202"/>
      <c r="J41" s="203">
        <f>+AVERAGE(N28:N33)</f>
        <v>1</v>
      </c>
      <c r="K41" s="204"/>
      <c r="L41" s="203">
        <f>+AVERAGE(N21:N33)</f>
        <v>0.6</v>
      </c>
    </row>
    <row r="42" spans="2:24" ht="43.25" customHeight="1" x14ac:dyDescent="0.3">
      <c r="E42" s="205"/>
      <c r="F42" s="205"/>
      <c r="G42" s="206"/>
      <c r="H42" s="206"/>
      <c r="I42" s="137"/>
      <c r="J42" s="137"/>
      <c r="K42" s="137"/>
      <c r="L42" s="137"/>
    </row>
    <row r="43" spans="2:24" ht="43.25" customHeight="1" x14ac:dyDescent="0.3">
      <c r="E43" s="194"/>
      <c r="F43" s="194"/>
      <c r="G43" s="207"/>
      <c r="H43" s="208" t="s">
        <v>24</v>
      </c>
      <c r="I43" s="208" t="s">
        <v>199</v>
      </c>
      <c r="J43" s="208" t="s">
        <v>201</v>
      </c>
      <c r="K43" s="208" t="s">
        <v>404</v>
      </c>
      <c r="L43" s="345" t="s">
        <v>484</v>
      </c>
      <c r="M43" s="345" t="s">
        <v>485</v>
      </c>
      <c r="N43" s="208"/>
    </row>
    <row r="44" spans="2:24" ht="14.5" x14ac:dyDescent="0.35">
      <c r="E44" s="445" t="s">
        <v>174</v>
      </c>
      <c r="F44" s="445"/>
      <c r="G44" s="445"/>
      <c r="H44" s="209">
        <f>+U36</f>
        <v>0</v>
      </c>
      <c r="I44" s="298">
        <f>+H44*$J$44*$K$44</f>
        <v>0</v>
      </c>
      <c r="J44" s="298">
        <v>6.6</v>
      </c>
      <c r="K44" s="246">
        <v>3.42</v>
      </c>
      <c r="L44" s="344">
        <v>56.080975609756102</v>
      </c>
      <c r="M44" s="344">
        <f>+L44*K44*H44</f>
        <v>0</v>
      </c>
    </row>
    <row r="45" spans="2:24" ht="14.4" customHeight="1" x14ac:dyDescent="0.35">
      <c r="E45" s="445" t="s">
        <v>224</v>
      </c>
      <c r="F45" s="445"/>
      <c r="G45" s="445"/>
      <c r="H45" s="209"/>
      <c r="I45" s="298">
        <f>+J45*K45</f>
        <v>0</v>
      </c>
      <c r="J45" s="298">
        <f>1892/1000000</f>
        <v>1.892E-3</v>
      </c>
      <c r="K45" s="246">
        <f>+((15*4.4)*2.72)*0</f>
        <v>0</v>
      </c>
      <c r="L45" s="346">
        <v>1.6919982016368774E-2</v>
      </c>
      <c r="M45" s="344">
        <f>+L45*K45</f>
        <v>0</v>
      </c>
    </row>
    <row r="46" spans="2:24" ht="14.4" customHeight="1" x14ac:dyDescent="0.35">
      <c r="E46" s="445" t="s">
        <v>359</v>
      </c>
      <c r="F46" s="445"/>
      <c r="G46" s="445"/>
      <c r="H46" s="209"/>
      <c r="I46" s="298">
        <f>+J46*K46</f>
        <v>0</v>
      </c>
      <c r="J46" s="298">
        <v>0.340368</v>
      </c>
      <c r="K46" s="246">
        <v>0</v>
      </c>
      <c r="L46" s="346">
        <v>2.2358937544867188</v>
      </c>
      <c r="M46" s="344">
        <f>+L46*K46</f>
        <v>0</v>
      </c>
    </row>
    <row r="47" spans="2:24" ht="14.4" customHeight="1" x14ac:dyDescent="0.35">
      <c r="E47" s="445" t="s">
        <v>376</v>
      </c>
      <c r="F47" s="445"/>
      <c r="G47" s="445"/>
      <c r="H47" s="209">
        <v>0</v>
      </c>
      <c r="I47" s="298">
        <f>+H47*$J$47*$K$47</f>
        <v>0</v>
      </c>
      <c r="J47" s="298">
        <f>23683234/1000000</f>
        <v>23.683233999999999</v>
      </c>
      <c r="K47" s="226">
        <v>0</v>
      </c>
      <c r="L47" s="346">
        <v>254.98967741935485</v>
      </c>
      <c r="M47" s="344">
        <f>+L47*K47*H47</f>
        <v>0</v>
      </c>
    </row>
    <row r="48" spans="2:24" ht="14.4" customHeight="1" x14ac:dyDescent="0.35">
      <c r="E48" s="445" t="s">
        <v>236</v>
      </c>
      <c r="F48" s="445"/>
      <c r="G48" s="445"/>
      <c r="H48" s="209"/>
      <c r="I48" s="298">
        <f>+J48*K48</f>
        <v>0</v>
      </c>
      <c r="J48" s="298">
        <f>25508/1000000</f>
        <v>2.5507999999999999E-2</v>
      </c>
      <c r="K48" s="246">
        <f>7/(0.05)*0</f>
        <v>0</v>
      </c>
      <c r="L48" s="347" t="s">
        <v>486</v>
      </c>
      <c r="M48" s="349"/>
    </row>
    <row r="49" spans="2:13" ht="14.4" customHeight="1" x14ac:dyDescent="0.35">
      <c r="E49" s="445" t="s">
        <v>451</v>
      </c>
      <c r="F49" s="445"/>
      <c r="G49" s="445"/>
      <c r="H49" s="209">
        <v>1</v>
      </c>
      <c r="I49" s="298">
        <f>H49*J49</f>
        <v>7.9892054999999997</v>
      </c>
      <c r="J49" s="298">
        <f>15978411/2000000</f>
        <v>7.9892054999999997</v>
      </c>
      <c r="K49" s="246"/>
      <c r="L49" s="347" t="s">
        <v>486</v>
      </c>
      <c r="M49" s="344"/>
    </row>
    <row r="50" spans="2:13" ht="14.4" customHeight="1" x14ac:dyDescent="0.35">
      <c r="E50" s="445" t="s">
        <v>298</v>
      </c>
      <c r="F50" s="445"/>
      <c r="G50" s="445"/>
      <c r="H50" s="209"/>
      <c r="I50" s="210">
        <f>SUM(I44:I49)</f>
        <v>7.9892054999999997</v>
      </c>
      <c r="J50" s="214"/>
      <c r="K50" s="246"/>
      <c r="L50" s="344"/>
      <c r="M50" s="344"/>
    </row>
    <row r="51" spans="2:13" ht="14.4" customHeight="1" x14ac:dyDescent="0.35">
      <c r="E51" s="227"/>
      <c r="F51" s="227"/>
      <c r="G51" s="227"/>
      <c r="H51" s="209"/>
      <c r="I51" s="210"/>
      <c r="J51" s="214"/>
      <c r="K51" s="246"/>
      <c r="L51" s="344"/>
      <c r="M51" s="344"/>
    </row>
    <row r="52" spans="2:13" ht="14.4" customHeight="1" x14ac:dyDescent="0.35">
      <c r="E52" s="445" t="s">
        <v>175</v>
      </c>
      <c r="F52" s="445"/>
      <c r="G52" s="445"/>
      <c r="H52" s="209">
        <f>+U25</f>
        <v>0</v>
      </c>
      <c r="I52" s="210">
        <f>+H52*$J$52*$K$52</f>
        <v>0</v>
      </c>
      <c r="J52" s="211">
        <v>11.8</v>
      </c>
      <c r="K52" s="246">
        <v>4</v>
      </c>
      <c r="L52" s="344">
        <v>118.52055555555555</v>
      </c>
      <c r="M52" s="344">
        <f>+L52*K52*H52</f>
        <v>0</v>
      </c>
    </row>
    <row r="53" spans="2:13" ht="14.4" customHeight="1" x14ac:dyDescent="0.35">
      <c r="E53" s="445" t="s">
        <v>225</v>
      </c>
      <c r="F53" s="445"/>
      <c r="G53" s="445"/>
      <c r="H53" s="209"/>
      <c r="I53" s="210">
        <f>+J53*K53</f>
        <v>0</v>
      </c>
      <c r="J53" s="296">
        <f>+J45*0</f>
        <v>0</v>
      </c>
      <c r="K53" s="215">
        <f>+((15*2.8)*2.72)*0</f>
        <v>0</v>
      </c>
      <c r="L53" s="346">
        <v>1.6919982016368774E-2</v>
      </c>
      <c r="M53" s="344">
        <f>+L53*K53</f>
        <v>0</v>
      </c>
    </row>
    <row r="54" spans="2:13" ht="14.4" customHeight="1" x14ac:dyDescent="0.35">
      <c r="E54" s="445" t="s">
        <v>297</v>
      </c>
      <c r="F54" s="445"/>
      <c r="G54" s="445"/>
      <c r="H54" s="209"/>
      <c r="I54" s="210">
        <f>SUM(I52:I53)</f>
        <v>0</v>
      </c>
      <c r="J54" s="214"/>
      <c r="K54" s="246"/>
      <c r="L54" s="347"/>
      <c r="M54" s="349"/>
    </row>
    <row r="55" spans="2:13" ht="14.4" customHeight="1" x14ac:dyDescent="0.3">
      <c r="E55" s="227"/>
      <c r="F55" s="227"/>
      <c r="G55" s="227"/>
      <c r="H55" s="209"/>
      <c r="I55" s="210"/>
      <c r="J55" s="214"/>
      <c r="K55" s="246"/>
      <c r="L55" s="213"/>
      <c r="M55" s="352">
        <f>SUM(M44:M54)</f>
        <v>0</v>
      </c>
    </row>
    <row r="56" spans="2:13" ht="14.4" customHeight="1" x14ac:dyDescent="0.3">
      <c r="L56" s="213"/>
    </row>
    <row r="57" spans="2:13" ht="7.75" customHeight="1" thickBot="1" x14ac:dyDescent="0.35"/>
    <row r="58" spans="2:13" ht="30" customHeight="1" thickBot="1" x14ac:dyDescent="0.35">
      <c r="B58" s="191"/>
      <c r="C58" s="446" t="s">
        <v>88</v>
      </c>
      <c r="D58" s="446"/>
      <c r="E58" s="192"/>
      <c r="F58" s="192"/>
      <c r="G58" s="192"/>
      <c r="H58" s="192"/>
      <c r="I58" s="216"/>
      <c r="J58" s="193"/>
    </row>
    <row r="59" spans="2:13" ht="38" customHeight="1" x14ac:dyDescent="0.3">
      <c r="C59" s="217" t="s">
        <v>89</v>
      </c>
      <c r="D59" s="195">
        <f>SUMPRODUCT((LEFT(G21:G33, 5)="Jumbo") / (COUNTIF(G21:G33, G21:G33 &amp; "") + (G21:G33="")))</f>
        <v>0</v>
      </c>
      <c r="E59" s="447" t="s">
        <v>90</v>
      </c>
      <c r="F59" s="447"/>
      <c r="G59" s="218">
        <v>0.20833333333333334</v>
      </c>
      <c r="I59" s="139"/>
      <c r="J59" s="190"/>
    </row>
    <row r="60" spans="2:13" ht="38" customHeight="1" x14ac:dyDescent="0.3">
      <c r="E60" s="447" t="s">
        <v>93</v>
      </c>
      <c r="F60" s="447"/>
      <c r="G60" s="195">
        <f>15000/(60)</f>
        <v>250</v>
      </c>
      <c r="H60" s="219" t="s">
        <v>143</v>
      </c>
      <c r="I60" s="139"/>
      <c r="J60" s="190"/>
    </row>
    <row r="61" spans="2:13" ht="38" customHeight="1" x14ac:dyDescent="0.3">
      <c r="E61" s="448" t="s">
        <v>91</v>
      </c>
      <c r="F61" s="448"/>
      <c r="G61" s="207" t="e">
        <f>+SUM(SUMIF($G$21:$G$33, "Jumbo*", $J$21:$J$33))/SUMPRODUCT((LEFT(G21:G33, 5)="Jumbo") / (COUNTIF(G21:G33, G21:G33 &amp; "") + (G21:G33="")))</f>
        <v>#DIV/0!</v>
      </c>
      <c r="H61" s="220" t="e">
        <f>+G61*24/($G$59*24)</f>
        <v>#DIV/0!</v>
      </c>
      <c r="I61" s="190"/>
      <c r="J61" s="190"/>
    </row>
    <row r="62" spans="2:13" ht="38" customHeight="1" x14ac:dyDescent="0.3">
      <c r="E62" s="448" t="s">
        <v>92</v>
      </c>
      <c r="F62" s="448"/>
      <c r="G62" s="221" t="e">
        <f>+SUM(V21:V33)/D59</f>
        <v>#DIV/0!</v>
      </c>
      <c r="H62" s="220" t="e">
        <f>+G62/G60</f>
        <v>#DIV/0!</v>
      </c>
      <c r="I62" s="190"/>
      <c r="J62" s="190"/>
    </row>
    <row r="63" spans="2:13" ht="38" customHeight="1" x14ac:dyDescent="0.3">
      <c r="G63" s="222" t="s">
        <v>87</v>
      </c>
      <c r="H63" s="139" t="s">
        <v>23</v>
      </c>
    </row>
    <row r="64" spans="2:13" ht="20" customHeight="1" x14ac:dyDescent="0.3">
      <c r="F64" s="208" t="s">
        <v>65</v>
      </c>
      <c r="G64" s="221">
        <f t="shared" ref="G64:G69" si="9" xml:space="preserve"> SUMIF($G$21:$G$33, +F64,$V$21:$V$33)</f>
        <v>0</v>
      </c>
      <c r="H64" s="220">
        <f t="shared" ref="H64:H69" si="10">+G64/$G$60</f>
        <v>0</v>
      </c>
    </row>
    <row r="65" spans="2:10" ht="20" customHeight="1" x14ac:dyDescent="0.3">
      <c r="F65" s="208" t="s">
        <v>66</v>
      </c>
      <c r="G65" s="221">
        <f t="shared" si="9"/>
        <v>0</v>
      </c>
      <c r="H65" s="220">
        <f t="shared" si="10"/>
        <v>0</v>
      </c>
    </row>
    <row r="66" spans="2:10" ht="20" customHeight="1" x14ac:dyDescent="0.3">
      <c r="F66" s="208" t="s">
        <v>67</v>
      </c>
      <c r="G66" s="221">
        <f t="shared" si="9"/>
        <v>0</v>
      </c>
      <c r="H66" s="220">
        <f t="shared" si="10"/>
        <v>0</v>
      </c>
    </row>
    <row r="67" spans="2:10" ht="20" customHeight="1" x14ac:dyDescent="0.3">
      <c r="F67" s="208" t="s">
        <v>68</v>
      </c>
      <c r="G67" s="221">
        <f t="shared" si="9"/>
        <v>0</v>
      </c>
      <c r="H67" s="220">
        <f t="shared" si="10"/>
        <v>0</v>
      </c>
    </row>
    <row r="68" spans="2:10" ht="20" customHeight="1" x14ac:dyDescent="0.3">
      <c r="F68" s="208" t="s">
        <v>69</v>
      </c>
      <c r="G68" s="221">
        <f t="shared" si="9"/>
        <v>0</v>
      </c>
      <c r="H68" s="220">
        <f t="shared" si="10"/>
        <v>0</v>
      </c>
    </row>
    <row r="69" spans="2:10" ht="20" customHeight="1" x14ac:dyDescent="0.3">
      <c r="F69" s="208" t="s">
        <v>70</v>
      </c>
      <c r="G69" s="221">
        <f t="shared" si="9"/>
        <v>0</v>
      </c>
      <c r="H69" s="220">
        <f t="shared" si="10"/>
        <v>0</v>
      </c>
    </row>
    <row r="70" spans="2:10" ht="20" customHeight="1" x14ac:dyDescent="0.3">
      <c r="F70" s="208" t="s">
        <v>146</v>
      </c>
      <c r="G70" s="223">
        <f>+SUM(G64:G69)</f>
        <v>0</v>
      </c>
      <c r="H70" s="220" t="e">
        <f>+G70/($G$60*$D$59)</f>
        <v>#DIV/0!</v>
      </c>
    </row>
    <row r="71" spans="2:10" ht="13.5" thickBot="1" x14ac:dyDescent="0.35"/>
    <row r="72" spans="2:10" ht="30" customHeight="1" thickBot="1" x14ac:dyDescent="0.35">
      <c r="B72" s="191"/>
      <c r="C72" s="446" t="s">
        <v>107</v>
      </c>
      <c r="D72" s="446"/>
      <c r="E72" s="192"/>
      <c r="F72" s="192"/>
      <c r="G72" s="192"/>
      <c r="H72" s="192"/>
      <c r="I72" s="216"/>
      <c r="J72" s="193"/>
    </row>
    <row r="73" spans="2:10" ht="38" customHeight="1" x14ac:dyDescent="0.3">
      <c r="C73" s="208" t="s">
        <v>95</v>
      </c>
      <c r="D73" s="195">
        <f>SUMPRODUCT((LEFT(G21:G33, 5)="Scoop") / (COUNTIF(G21:G33, G21:G33 &amp; "") + (G21:G33="")))</f>
        <v>1</v>
      </c>
      <c r="E73" s="447" t="s">
        <v>90</v>
      </c>
      <c r="F73" s="447"/>
      <c r="G73" s="218">
        <v>0.20833333333333334</v>
      </c>
      <c r="I73" s="139"/>
      <c r="J73" s="190"/>
    </row>
    <row r="74" spans="2:10" ht="38" customHeight="1" x14ac:dyDescent="0.3">
      <c r="C74" s="208" t="s">
        <v>145</v>
      </c>
      <c r="D74" s="195">
        <v>4.9000000000000004</v>
      </c>
      <c r="E74" s="447" t="s">
        <v>97</v>
      </c>
      <c r="F74" s="447"/>
      <c r="G74" s="195">
        <f>15000/(60)</f>
        <v>250</v>
      </c>
      <c r="H74" s="219" t="s">
        <v>23</v>
      </c>
      <c r="I74" s="139"/>
      <c r="J74" s="190"/>
    </row>
    <row r="75" spans="2:10" ht="38" customHeight="1" x14ac:dyDescent="0.3">
      <c r="E75" s="448" t="s">
        <v>98</v>
      </c>
      <c r="F75" s="448"/>
      <c r="G75" s="207">
        <f>+SUM(SUMIF($G$21:$G$33, "Scoop*", $J$21:$J$33))/SUMPRODUCT((LEFT(G21:G33, 5)="Scoop") / (COUNTIF(G21:G33, G21:G33 &amp; "") + (G21:G33="")))</f>
        <v>0.15416666666666667</v>
      </c>
      <c r="H75" s="220">
        <f>+G75*24/($G$73*24)</f>
        <v>0.74</v>
      </c>
      <c r="I75" s="190"/>
      <c r="J75" s="190"/>
    </row>
    <row r="76" spans="2:10" ht="38" customHeight="1" x14ac:dyDescent="0.3">
      <c r="E76" s="448" t="s">
        <v>99</v>
      </c>
      <c r="F76" s="448"/>
      <c r="G76" s="221">
        <f>+SUM(W21:W33)*D74/D73</f>
        <v>0</v>
      </c>
      <c r="H76" s="220">
        <f>+G76/G74</f>
        <v>0</v>
      </c>
      <c r="I76" s="190"/>
      <c r="J76" s="190"/>
    </row>
    <row r="77" spans="2:10" ht="38" customHeight="1" x14ac:dyDescent="0.3">
      <c r="G77" s="222" t="s">
        <v>96</v>
      </c>
      <c r="H77" s="139" t="s">
        <v>23</v>
      </c>
    </row>
    <row r="78" spans="2:10" ht="20" customHeight="1" x14ac:dyDescent="0.3">
      <c r="F78" s="208" t="s">
        <v>71</v>
      </c>
      <c r="G78" s="221">
        <f t="shared" ref="G78:G83" si="11" xml:space="preserve"> SUMIF($G$21:$G$33, +F78,$W$21:$W$33)*$D$74</f>
        <v>0</v>
      </c>
      <c r="H78" s="220">
        <f>+G78/$G$74</f>
        <v>0</v>
      </c>
    </row>
    <row r="79" spans="2:10" ht="20" customHeight="1" x14ac:dyDescent="0.3">
      <c r="F79" s="208" t="s">
        <v>72</v>
      </c>
      <c r="G79" s="221">
        <f t="shared" si="11"/>
        <v>0</v>
      </c>
      <c r="H79" s="220">
        <f t="shared" ref="H79:H84" si="12">+G79/$G$74</f>
        <v>0</v>
      </c>
    </row>
    <row r="80" spans="2:10" ht="20" customHeight="1" x14ac:dyDescent="0.3">
      <c r="F80" s="208" t="s">
        <v>73</v>
      </c>
      <c r="G80" s="221">
        <f t="shared" si="11"/>
        <v>0</v>
      </c>
      <c r="H80" s="220">
        <f t="shared" si="12"/>
        <v>0</v>
      </c>
    </row>
    <row r="81" spans="2:10" ht="20" customHeight="1" x14ac:dyDescent="0.3">
      <c r="F81" s="208" t="s">
        <v>74</v>
      </c>
      <c r="G81" s="221">
        <f t="shared" si="11"/>
        <v>0</v>
      </c>
      <c r="H81" s="220">
        <f t="shared" si="12"/>
        <v>0</v>
      </c>
    </row>
    <row r="82" spans="2:10" ht="20" customHeight="1" x14ac:dyDescent="0.3">
      <c r="F82" s="208" t="s">
        <v>75</v>
      </c>
      <c r="G82" s="221">
        <f t="shared" si="11"/>
        <v>0</v>
      </c>
      <c r="H82" s="220">
        <f t="shared" si="12"/>
        <v>0</v>
      </c>
    </row>
    <row r="83" spans="2:10" ht="20" customHeight="1" x14ac:dyDescent="0.3">
      <c r="F83" s="208" t="s">
        <v>76</v>
      </c>
      <c r="G83" s="221">
        <f t="shared" si="11"/>
        <v>0</v>
      </c>
      <c r="H83" s="220">
        <f t="shared" si="12"/>
        <v>0</v>
      </c>
    </row>
    <row r="84" spans="2:10" ht="20" customHeight="1" x14ac:dyDescent="0.3">
      <c r="F84" s="208" t="s">
        <v>146</v>
      </c>
      <c r="G84" s="223">
        <f>+SUM(G78:G83)</f>
        <v>0</v>
      </c>
      <c r="H84" s="220">
        <f t="shared" si="12"/>
        <v>0</v>
      </c>
    </row>
    <row r="85" spans="2:10" ht="13.5" thickBot="1" x14ac:dyDescent="0.35"/>
    <row r="86" spans="2:10" ht="30" customHeight="1" thickBot="1" x14ac:dyDescent="0.35">
      <c r="B86" s="191"/>
      <c r="C86" s="446" t="s">
        <v>149</v>
      </c>
      <c r="D86" s="446"/>
      <c r="E86" s="192"/>
      <c r="F86" s="192"/>
      <c r="G86" s="192"/>
      <c r="H86" s="192"/>
      <c r="I86" s="216"/>
      <c r="J86" s="193"/>
    </row>
    <row r="87" spans="2:10" ht="25.25" customHeight="1" x14ac:dyDescent="0.3">
      <c r="C87" s="208" t="s">
        <v>150</v>
      </c>
      <c r="D87" s="195">
        <f>SUMPRODUCT((LEFT(G21:G33, 8)="Roboshot") / (COUNTIF(G21:G33, G21:G33 &amp; "") + (G21:G33="")))</f>
        <v>0</v>
      </c>
      <c r="E87" s="447" t="s">
        <v>90</v>
      </c>
      <c r="F87" s="447"/>
      <c r="G87" s="218">
        <v>0.20833333333333334</v>
      </c>
    </row>
    <row r="88" spans="2:10" x14ac:dyDescent="0.3">
      <c r="C88" s="208"/>
      <c r="D88" s="195"/>
      <c r="E88" s="447" t="s">
        <v>97</v>
      </c>
      <c r="F88" s="447"/>
      <c r="G88" s="195">
        <v>12</v>
      </c>
      <c r="H88" s="219" t="s">
        <v>23</v>
      </c>
    </row>
    <row r="90" spans="2:10" x14ac:dyDescent="0.3">
      <c r="G90" s="222" t="s">
        <v>96</v>
      </c>
      <c r="H90" s="139" t="s">
        <v>23</v>
      </c>
    </row>
    <row r="91" spans="2:10" x14ac:dyDescent="0.3">
      <c r="F91" s="208" t="s">
        <v>77</v>
      </c>
      <c r="G91" s="221">
        <f xml:space="preserve"> SUMIF($G$21:$G$33, +F91,$X$21:$X$33)</f>
        <v>0</v>
      </c>
      <c r="H91" s="220">
        <f>+G91/$G$88</f>
        <v>0</v>
      </c>
    </row>
    <row r="92" spans="2:10" x14ac:dyDescent="0.3">
      <c r="F92" s="208" t="s">
        <v>78</v>
      </c>
      <c r="G92" s="221">
        <f xml:space="preserve"> SUMIF($G$21:$G$33, +F92,$X$21:$X$33)</f>
        <v>0</v>
      </c>
      <c r="H92" s="220">
        <f t="shared" ref="H92:H93" si="13">+G92/$G$88</f>
        <v>0</v>
      </c>
    </row>
    <row r="93" spans="2:10" x14ac:dyDescent="0.3">
      <c r="F93" s="208" t="s">
        <v>79</v>
      </c>
      <c r="G93" s="221">
        <f xml:space="preserve"> SUMIF($G$21:$G$33, +F93,$X$21:$X$33)</f>
        <v>0</v>
      </c>
      <c r="H93" s="220">
        <f t="shared" si="13"/>
        <v>0</v>
      </c>
    </row>
    <row r="94" spans="2:10" x14ac:dyDescent="0.3">
      <c r="F94" s="208" t="s">
        <v>146</v>
      </c>
      <c r="G94" s="223">
        <f>+SUM(G91:G93)</f>
        <v>0</v>
      </c>
      <c r="H94" s="220">
        <f>+G94/$G$88</f>
        <v>0</v>
      </c>
    </row>
  </sheetData>
  <mergeCells count="41">
    <mergeCell ref="E88:F88"/>
    <mergeCell ref="C72:D72"/>
    <mergeCell ref="E73:F73"/>
    <mergeCell ref="E74:F74"/>
    <mergeCell ref="E75:F75"/>
    <mergeCell ref="E76:F76"/>
    <mergeCell ref="C86:D86"/>
    <mergeCell ref="C58:D58"/>
    <mergeCell ref="E59:F59"/>
    <mergeCell ref="E60:F60"/>
    <mergeCell ref="E61:F61"/>
    <mergeCell ref="E87:F87"/>
    <mergeCell ref="E62:F62"/>
    <mergeCell ref="E47:G47"/>
    <mergeCell ref="E48:G48"/>
    <mergeCell ref="E49:G49"/>
    <mergeCell ref="E50:G50"/>
    <mergeCell ref="E52:G52"/>
    <mergeCell ref="E53:G53"/>
    <mergeCell ref="E54:G54"/>
    <mergeCell ref="E46:G46"/>
    <mergeCell ref="K9:L9"/>
    <mergeCell ref="K10:L10"/>
    <mergeCell ref="K11:L11"/>
    <mergeCell ref="K12:L12"/>
    <mergeCell ref="B14:S14"/>
    <mergeCell ref="C38:D38"/>
    <mergeCell ref="G38:H38"/>
    <mergeCell ref="I38:J38"/>
    <mergeCell ref="K38:L38"/>
    <mergeCell ref="E39:F39"/>
    <mergeCell ref="E40:F40"/>
    <mergeCell ref="E41:F41"/>
    <mergeCell ref="E44:G44"/>
    <mergeCell ref="E45:G45"/>
    <mergeCell ref="K8:L8"/>
    <mergeCell ref="B1:D4"/>
    <mergeCell ref="E2:R2"/>
    <mergeCell ref="E3:R4"/>
    <mergeCell ref="K6:L6"/>
    <mergeCell ref="K7:L7"/>
  </mergeCells>
  <conditionalFormatting sqref="H40:H41 J40:J41">
    <cfRule type="cellIs" dxfId="272" priority="13" operator="greaterThan">
      <formula>0.9</formula>
    </cfRule>
    <cfRule type="cellIs" dxfId="271" priority="14" operator="between">
      <formula>0.81</formula>
      <formula>0.89</formula>
    </cfRule>
    <cfRule type="cellIs" dxfId="270" priority="15" operator="lessThan">
      <formula>0.8</formula>
    </cfRule>
  </conditionalFormatting>
  <conditionalFormatting sqref="H61:H62">
    <cfRule type="cellIs" dxfId="269" priority="16" operator="greaterThan">
      <formula>0.9</formula>
    </cfRule>
    <cfRule type="cellIs" dxfId="268" priority="17" operator="between">
      <formula>0.81</formula>
      <formula>0.89</formula>
    </cfRule>
    <cfRule type="cellIs" dxfId="267" priority="18" operator="lessThan">
      <formula>0.8</formula>
    </cfRule>
  </conditionalFormatting>
  <conditionalFormatting sqref="H64:H70">
    <cfRule type="cellIs" dxfId="266" priority="19" operator="greaterThan">
      <formula>0.9</formula>
    </cfRule>
    <cfRule type="cellIs" dxfId="265" priority="20" operator="between">
      <formula>0.81</formula>
      <formula>0.89</formula>
    </cfRule>
    <cfRule type="cellIs" dxfId="264" priority="21" operator="lessThan">
      <formula>0.8</formula>
    </cfRule>
  </conditionalFormatting>
  <conditionalFormatting sqref="H75:H76">
    <cfRule type="cellIs" dxfId="263" priority="7" operator="greaterThan">
      <formula>0.9</formula>
    </cfRule>
    <cfRule type="cellIs" dxfId="262" priority="8" operator="between">
      <formula>0.81</formula>
      <formula>0.89</formula>
    </cfRule>
    <cfRule type="cellIs" dxfId="261" priority="9" operator="lessThan">
      <formula>0.8</formula>
    </cfRule>
  </conditionalFormatting>
  <conditionalFormatting sqref="H78:H84">
    <cfRule type="cellIs" dxfId="260" priority="10" operator="greaterThan">
      <formula>0.9</formula>
    </cfRule>
    <cfRule type="cellIs" dxfId="259" priority="11" operator="between">
      <formula>0.81</formula>
      <formula>0.89</formula>
    </cfRule>
    <cfRule type="cellIs" dxfId="258" priority="12" operator="lessThan">
      <formula>0.8</formula>
    </cfRule>
  </conditionalFormatting>
  <conditionalFormatting sqref="H91:H94">
    <cfRule type="cellIs" dxfId="257" priority="4" operator="greaterThan">
      <formula>0.9</formula>
    </cfRule>
    <cfRule type="cellIs" dxfId="256" priority="5" operator="between">
      <formula>0.81</formula>
      <formula>0.89</formula>
    </cfRule>
    <cfRule type="cellIs" dxfId="255" priority="6" operator="lessThan">
      <formula>0.8</formula>
    </cfRule>
  </conditionalFormatting>
  <conditionalFormatting sqref="L40:L41">
    <cfRule type="cellIs" dxfId="254" priority="1" operator="greaterThan">
      <formula>0.9</formula>
    </cfRule>
    <cfRule type="cellIs" dxfId="253" priority="2" operator="between">
      <formula>0.81</formula>
      <formula>0.89</formula>
    </cfRule>
    <cfRule type="cellIs" dxfId="252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EA38F40-CA7E-4215-B44E-D526644185E6}">
          <x14:formula1>
            <xm:f>Datos!$B$3:$B$8</xm:f>
          </x14:formula1>
          <xm:sqref>E28:E36 E21:E25</xm:sqref>
        </x14:dataValidation>
        <x14:dataValidation type="list" allowBlank="1" showInputMessage="1" showErrorMessage="1" xr:uid="{C2155D59-B91E-4420-9603-5986A1847235}">
          <x14:formula1>
            <xm:f>Datos!$D$3:$D$27</xm:f>
          </x14:formula1>
          <xm:sqref>F28:F36 F21:F25</xm:sqref>
        </x14:dataValidation>
        <x14:dataValidation type="list" allowBlank="1" showInputMessage="1" showErrorMessage="1" xr:uid="{A24C5AF7-BB10-4EF4-9F61-9EB454E39DFC}">
          <x14:formula1>
            <xm:f>Datos!$W$3:$W$12</xm:f>
          </x14:formula1>
          <xm:sqref>L28:L36 L21:L25</xm:sqref>
        </x14:dataValidation>
        <x14:dataValidation type="list" allowBlank="1" showInputMessage="1" showErrorMessage="1" xr:uid="{8065ADCD-C1C2-41C8-89E5-0D0C7D7B62E4}">
          <x14:formula1>
            <xm:f>Datos!$F$3:$F$41</xm:f>
          </x14:formula1>
          <xm:sqref>G28:G36 G21:G25</xm:sqref>
        </x14:dataValidation>
        <x14:dataValidation type="list" allowBlank="1" showInputMessage="1" showErrorMessage="1" xr:uid="{F4802DE7-1075-4AD5-BC2E-6A67D601F80E}">
          <x14:formula1>
            <xm:f>Datos!$H$3:$H$26</xm:f>
          </x14:formula1>
          <xm:sqref>D25 D36</xm:sqref>
        </x14:dataValidation>
        <x14:dataValidation type="list" allowBlank="1" showInputMessage="1" showErrorMessage="1" xr:uid="{24B5432D-2CCE-4AF4-9E2B-6454F2F36DB3}">
          <x14:formula1>
            <xm:f>Datos!$H$3:$H$34</xm:f>
          </x14:formula1>
          <xm:sqref>D28:D35 D21:D24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554E-8718-4FCA-A551-0956CEDDF780}">
  <sheetPr>
    <pageSetUpPr fitToPage="1"/>
  </sheetPr>
  <dimension ref="B1:X96"/>
  <sheetViews>
    <sheetView showGridLines="0" topLeftCell="A19" zoomScale="85" zoomScaleNormal="85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E56" sqref="E56:G56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0.33680555555555558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0.66666666666666663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+G72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+G86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+G96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172</v>
      </c>
      <c r="E21" s="172" t="s">
        <v>6</v>
      </c>
      <c r="F21" s="172" t="s">
        <v>163</v>
      </c>
      <c r="G21" s="172"/>
      <c r="H21" s="174">
        <v>0.39583333333333331</v>
      </c>
      <c r="I21" s="174">
        <v>0.41666666666666669</v>
      </c>
      <c r="J21" s="175">
        <f>I21-H21</f>
        <v>2.083333333333337E-2</v>
      </c>
      <c r="K21" s="178"/>
      <c r="L21" s="177"/>
      <c r="M21" s="178"/>
      <c r="N21" s="179">
        <v>1</v>
      </c>
      <c r="O21" s="186"/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105</v>
      </c>
      <c r="E22" s="172" t="s">
        <v>6</v>
      </c>
      <c r="F22" s="172" t="s">
        <v>32</v>
      </c>
      <c r="G22" s="172" t="s">
        <v>205</v>
      </c>
      <c r="H22" s="174">
        <v>0.43055555555555558</v>
      </c>
      <c r="I22" s="174">
        <v>0.59375</v>
      </c>
      <c r="J22" s="175">
        <f>I22-H22</f>
        <v>0.16319444444444442</v>
      </c>
      <c r="K22" s="178">
        <v>36</v>
      </c>
      <c r="L22" s="177" t="s">
        <v>128</v>
      </c>
      <c r="M22" s="178"/>
      <c r="N22" s="179">
        <v>1</v>
      </c>
      <c r="O22" s="225"/>
      <c r="P22" s="181"/>
      <c r="Q22" s="174"/>
      <c r="R22" s="172"/>
      <c r="S22" s="175">
        <f t="shared" ref="S22:S27" si="0">+MOD(R22-Q22,1)</f>
        <v>0</v>
      </c>
      <c r="U22" s="182">
        <f>+IFERROR(VLOOKUP(D22,Datos!$R$3:$T$19,3,FALSE), "0")*N22</f>
        <v>0</v>
      </c>
      <c r="V22" s="183" t="str">
        <f t="shared" ref="V22:V27" si="1">IF(OR(D22="Perforación de Fortificación", D22="Perforación de Avance", D22="Perforación Desquinche"), K22*M22, "")</f>
        <v/>
      </c>
      <c r="W22" s="183" t="str">
        <f t="shared" ref="W22:W27" si="2">IF(D22="Extracción de Marina Disparo",K22,"")</f>
        <v/>
      </c>
      <c r="X22" s="183" t="str">
        <f t="shared" ref="X22:X27" si="3">IF(OR(D22="Shotcrete", D22="Pre Shotcrete"), K22, "")</f>
        <v/>
      </c>
    </row>
    <row r="23" spans="2:24" ht="38" customHeight="1" x14ac:dyDescent="0.3">
      <c r="B23" s="172">
        <v>3500</v>
      </c>
      <c r="C23" s="173" t="s">
        <v>496</v>
      </c>
      <c r="D23" s="173" t="s">
        <v>51</v>
      </c>
      <c r="E23" s="172" t="s">
        <v>6</v>
      </c>
      <c r="F23" s="172"/>
      <c r="G23" s="172" t="s">
        <v>211</v>
      </c>
      <c r="H23" s="174">
        <v>0.59722222222222221</v>
      </c>
      <c r="I23" s="174">
        <v>0.75</v>
      </c>
      <c r="J23" s="175">
        <f>I23-H23</f>
        <v>0.15277777777777779</v>
      </c>
      <c r="K23" s="178"/>
      <c r="L23" s="177"/>
      <c r="M23" s="178"/>
      <c r="N23" s="179">
        <v>0</v>
      </c>
      <c r="O23" s="186" t="s">
        <v>499</v>
      </c>
      <c r="P23" s="181"/>
      <c r="Q23" s="174"/>
      <c r="R23" s="172"/>
      <c r="S23" s="175">
        <f t="shared" si="0"/>
        <v>0</v>
      </c>
      <c r="U23" s="182">
        <f>+IFERROR(VLOOKUP(D23,Datos!$R$3:$T$19,3,FALSE), "0")*N23</f>
        <v>0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/>
      <c r="C24" s="173" t="s">
        <v>498</v>
      </c>
      <c r="D24" s="173"/>
      <c r="E24" s="172"/>
      <c r="F24" s="172"/>
      <c r="G24" s="172"/>
      <c r="H24" s="174"/>
      <c r="I24" s="174"/>
      <c r="J24" s="175"/>
      <c r="K24" s="178"/>
      <c r="L24" s="177"/>
      <c r="M24" s="178"/>
      <c r="N24" s="179"/>
      <c r="O24" s="186"/>
      <c r="P24" s="181"/>
      <c r="Q24" s="174"/>
      <c r="R24" s="174"/>
      <c r="S24" s="175"/>
      <c r="U24" s="182">
        <f>+IFERROR(VLOOKUP(D24,Datos!$R$3:$T$19,3,FALSE), "0")*N24</f>
        <v>0</v>
      </c>
      <c r="V24" s="183"/>
      <c r="W24" s="183"/>
      <c r="X24" s="183"/>
    </row>
    <row r="25" spans="2:24" ht="38" customHeight="1" x14ac:dyDescent="0.3">
      <c r="B25" s="172"/>
      <c r="C25" s="173" t="s">
        <v>497</v>
      </c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186"/>
      <c r="P25" s="181"/>
      <c r="Q25" s="174"/>
      <c r="R25" s="174"/>
      <c r="S25" s="175"/>
      <c r="U25" s="182">
        <f>+IFERROR(VLOOKUP(D25,Datos!$R$3:$T$19,3,FALSE), "0")*N25</f>
        <v>0</v>
      </c>
      <c r="V25" s="183"/>
      <c r="W25" s="183"/>
      <c r="X25" s="183"/>
    </row>
    <row r="26" spans="2:24" ht="37.75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/>
      <c r="K26" s="178"/>
      <c r="L26" s="177"/>
      <c r="M26" s="178"/>
      <c r="N26" s="179"/>
      <c r="O26" s="186"/>
      <c r="P26" s="181"/>
      <c r="Q26" s="174"/>
      <c r="R26" s="174"/>
      <c r="S26" s="175"/>
      <c r="U26" s="182"/>
      <c r="V26" s="183" t="str">
        <f t="shared" si="1"/>
        <v/>
      </c>
      <c r="W26" s="183" t="str">
        <f t="shared" si="2"/>
        <v/>
      </c>
      <c r="X26" s="183" t="str">
        <f t="shared" si="3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MOD(I23-H21, 1)</f>
        <v>0.35416666666666669</v>
      </c>
      <c r="K27" s="178"/>
      <c r="L27" s="177"/>
      <c r="M27" s="178"/>
      <c r="N27" s="179"/>
      <c r="O27" s="186" t="s">
        <v>436</v>
      </c>
      <c r="P27" s="172"/>
      <c r="Q27" s="172"/>
      <c r="R27" s="172"/>
      <c r="S27" s="175">
        <f t="shared" si="0"/>
        <v>0</v>
      </c>
      <c r="U27" s="182">
        <f>SUM(U21:U26)</f>
        <v>0</v>
      </c>
      <c r="V27" s="183" t="str">
        <f t="shared" si="1"/>
        <v/>
      </c>
      <c r="W27" s="183" t="str">
        <f t="shared" si="2"/>
        <v/>
      </c>
      <c r="X27" s="183" t="str">
        <f t="shared" si="3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 t="s">
        <v>110</v>
      </c>
      <c r="E30" s="172" t="s">
        <v>6</v>
      </c>
      <c r="F30" s="172" t="s">
        <v>164</v>
      </c>
      <c r="G30" s="172"/>
      <c r="H30" s="174">
        <v>0.33333333333333331</v>
      </c>
      <c r="I30" s="174">
        <v>0.83333333333333337</v>
      </c>
      <c r="J30" s="175">
        <f>I30-H30</f>
        <v>0.5</v>
      </c>
      <c r="K30" s="178"/>
      <c r="L30" s="177"/>
      <c r="M30" s="178"/>
      <c r="N30" s="179">
        <v>1</v>
      </c>
      <c r="O30" s="186" t="s">
        <v>428</v>
      </c>
      <c r="P30" s="225"/>
      <c r="Q30" s="174"/>
      <c r="R30" s="174"/>
      <c r="S30" s="175"/>
      <c r="U30" s="187">
        <f>+IFERROR(VLOOKUP(D30,Datos!$R$24:$T$40,3,FALSE), "0")*N30</f>
        <v>0</v>
      </c>
      <c r="V30" s="183" t="str">
        <f t="shared" ref="V30:V38" si="4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8" si="5">IF(OR(D30="Shotcrete", D30="Pre Shotcrete"), K30, "")</f>
        <v/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73"/>
      <c r="Q31" s="174"/>
      <c r="R31" s="174"/>
      <c r="S31" s="175"/>
      <c r="U31" s="187">
        <f>+IFERROR(VLOOKUP(D31,Datos!$R$24:$T$40,3,FALSE), "0")*N31</f>
        <v>0</v>
      </c>
      <c r="V31" s="183" t="str">
        <f t="shared" si="4"/>
        <v/>
      </c>
      <c r="W31" s="183" t="str">
        <f>IF(D31="Extracción de Marina Disparo",K31,"")</f>
        <v/>
      </c>
      <c r="X31" s="183" t="str">
        <f t="shared" si="5"/>
        <v/>
      </c>
    </row>
    <row r="32" spans="2:24" ht="53.4" customHeight="1" x14ac:dyDescent="0.3">
      <c r="B32" s="172">
        <v>3700</v>
      </c>
      <c r="C32" s="173" t="str">
        <f>+C30</f>
        <v>Ciclo Minero 5,2 x 5,6 m
Galería Acceso Portal de Servicio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225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4"/>
        <v/>
      </c>
      <c r="W32" s="183" t="str">
        <f t="shared" ref="W32:W38" si="6">IF(D32="Extracción de Marina Disparo",K32,"")</f>
        <v/>
      </c>
      <c r="X32" s="183" t="str">
        <f t="shared" si="5"/>
        <v/>
      </c>
    </row>
    <row r="33" spans="2:24" ht="38" customHeight="1" x14ac:dyDescent="0.3">
      <c r="B33" s="172">
        <v>3700</v>
      </c>
      <c r="C33" s="173" t="s">
        <v>397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72"/>
      <c r="Q33" s="172"/>
      <c r="R33" s="172"/>
      <c r="S33" s="175"/>
      <c r="U33" s="187">
        <f>+IFERROR(VLOOKUP(D33,Datos!$R$24:$T$40,3,FALSE), "0")*N33</f>
        <v>0</v>
      </c>
      <c r="V33" s="183" t="str">
        <f t="shared" si="4"/>
        <v/>
      </c>
      <c r="W33" s="183" t="str">
        <f t="shared" si="6"/>
        <v/>
      </c>
      <c r="X33" s="183"/>
    </row>
    <row r="34" spans="2:24" ht="38" customHeight="1" x14ac:dyDescent="0.3">
      <c r="B34" s="172">
        <v>3700</v>
      </c>
      <c r="C34" s="173" t="str">
        <f>+C33</f>
        <v>Fróntón Bodega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6"/>
      <c r="P34" s="181"/>
      <c r="Q34" s="174"/>
      <c r="R34" s="174"/>
      <c r="S34" s="175"/>
      <c r="U34" s="187">
        <f>+IFERROR(VLOOKUP(D34,Datos!$R$24:$T$40,3,FALSE), "0")*N34</f>
        <v>0</v>
      </c>
      <c r="V34" s="183" t="str">
        <f t="shared" si="4"/>
        <v/>
      </c>
      <c r="W34" s="183" t="str">
        <f t="shared" si="6"/>
        <v/>
      </c>
      <c r="X34" s="183" t="str">
        <f t="shared" si="5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225"/>
      <c r="P35" s="172"/>
      <c r="Q35" s="172"/>
      <c r="R35" s="172"/>
      <c r="S35" s="175">
        <f t="shared" ref="S35:S38" si="7">+MOD(R35-Q35,1)</f>
        <v>0</v>
      </c>
      <c r="U35" s="187">
        <f>+IFERROR(VLOOKUP(D35,Datos!$R$24:$T$40,3,FALSE), "0")*N35</f>
        <v>0</v>
      </c>
      <c r="V35" s="183" t="str">
        <f t="shared" si="4"/>
        <v/>
      </c>
      <c r="W35" s="183" t="str">
        <f t="shared" si="6"/>
        <v/>
      </c>
      <c r="X35" s="183" t="str">
        <f t="shared" si="5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7"/>
        <v>0</v>
      </c>
      <c r="U36" s="187"/>
      <c r="V36" s="183" t="str">
        <f t="shared" si="4"/>
        <v/>
      </c>
      <c r="W36" s="183" t="str">
        <f t="shared" si="6"/>
        <v/>
      </c>
      <c r="X36" s="183" t="str">
        <f t="shared" si="5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7"/>
        <v>0</v>
      </c>
      <c r="U37" s="187"/>
      <c r="V37" s="183" t="str">
        <f t="shared" si="4"/>
        <v/>
      </c>
      <c r="W37" s="183" t="str">
        <f t="shared" si="6"/>
        <v/>
      </c>
      <c r="X37" s="183" t="str">
        <f t="shared" si="5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 t="s">
        <v>329</v>
      </c>
      <c r="J38" s="175">
        <v>0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7"/>
        <v>0</v>
      </c>
      <c r="U38" s="182">
        <f>SUM(U30:U37)</f>
        <v>0</v>
      </c>
      <c r="V38" s="183" t="str">
        <f t="shared" si="4"/>
        <v/>
      </c>
      <c r="W38" s="183" t="str">
        <f t="shared" si="6"/>
        <v/>
      </c>
      <c r="X38" s="183" t="str">
        <f t="shared" si="5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SUMPRODUCT((LEFT(F21:F35, 1)="C") / (COUNTIF(F21:F35, F21:F35 &amp; "") + (F21:F35="")))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SUMPRODUCT((LEFT(F21:F35, 1)="O") / (COUNTIF(F21:F35, F21:F35 &amp; "") + (F21:F35="")))</f>
        <v>1</v>
      </c>
      <c r="E42" s="448" t="s">
        <v>198</v>
      </c>
      <c r="F42" s="448"/>
      <c r="G42" s="199">
        <f>SUM(J21:J26)</f>
        <v>0.33680555555555558</v>
      </c>
      <c r="H42" s="200">
        <f>+G42*24/($G$41*24)</f>
        <v>1.2933333333333334</v>
      </c>
      <c r="I42" s="199">
        <f>SUM(J30:J35)</f>
        <v>0.5</v>
      </c>
      <c r="J42" s="200">
        <f>+I42*24/($I$41*24)</f>
        <v>1.92</v>
      </c>
      <c r="K42" s="201">
        <f>AVERAGE(G42+I42)/2</f>
        <v>0.41840277777777779</v>
      </c>
      <c r="L42" s="200">
        <f>+K42*24/($K$41*24)</f>
        <v>1.6066666666666669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+AVERAGE(N21:N27)</f>
        <v>0.66666666666666663</v>
      </c>
      <c r="I43" s="202"/>
      <c r="J43" s="203">
        <f>+AVERAGE(N30:N35)</f>
        <v>1</v>
      </c>
      <c r="K43" s="204"/>
      <c r="L43" s="203">
        <f>+AVERAGE(N21:N35)</f>
        <v>0.75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404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+U38</f>
        <v>0</v>
      </c>
      <c r="I46" s="298">
        <f>+H46*$J$46*$K$46</f>
        <v>0</v>
      </c>
      <c r="J46" s="298">
        <v>6.6</v>
      </c>
      <c r="K46" s="246">
        <v>3.42</v>
      </c>
      <c r="L46" s="344">
        <v>56.080975609756102</v>
      </c>
      <c r="M46" s="344">
        <f>+L46*K46*H46</f>
        <v>0</v>
      </c>
    </row>
    <row r="47" spans="2:24" ht="14.4" customHeight="1" x14ac:dyDescent="0.35">
      <c r="E47" s="445" t="s">
        <v>224</v>
      </c>
      <c r="F47" s="445"/>
      <c r="G47" s="445"/>
      <c r="H47" s="209"/>
      <c r="I47" s="298">
        <f>+J47*K47</f>
        <v>0</v>
      </c>
      <c r="J47" s="298">
        <f>1892/1000000</f>
        <v>1.892E-3</v>
      </c>
      <c r="K47" s="246">
        <f>+((15*4.4)*2.72)*0</f>
        <v>0</v>
      </c>
      <c r="L47" s="346">
        <v>1.6919982016368774E-2</v>
      </c>
      <c r="M47" s="344">
        <f>+L47*K47</f>
        <v>0</v>
      </c>
    </row>
    <row r="48" spans="2:24" ht="14.4" customHeight="1" x14ac:dyDescent="0.35">
      <c r="E48" s="445" t="s">
        <v>359</v>
      </c>
      <c r="F48" s="445"/>
      <c r="G48" s="445"/>
      <c r="H48" s="209"/>
      <c r="I48" s="298">
        <f>+J48*K48</f>
        <v>0</v>
      </c>
      <c r="J48" s="298">
        <v>0.340368</v>
      </c>
      <c r="K48" s="246">
        <v>0</v>
      </c>
      <c r="L48" s="346">
        <v>2.2358937544867188</v>
      </c>
      <c r="M48" s="344">
        <f>+L48*K48</f>
        <v>0</v>
      </c>
    </row>
    <row r="49" spans="2:13" ht="14.4" customHeight="1" x14ac:dyDescent="0.35">
      <c r="E49" s="445" t="s">
        <v>376</v>
      </c>
      <c r="F49" s="445"/>
      <c r="G49" s="445"/>
      <c r="H49" s="209">
        <v>0</v>
      </c>
      <c r="I49" s="298">
        <f>+H49*$J$49*$K$49</f>
        <v>0</v>
      </c>
      <c r="J49" s="298">
        <f>23683234/1000000</f>
        <v>23.683233999999999</v>
      </c>
      <c r="K49" s="226">
        <v>0</v>
      </c>
      <c r="L49" s="346">
        <v>254.98967741935485</v>
      </c>
      <c r="M49" s="344">
        <f>+L49*K49*H49</f>
        <v>0</v>
      </c>
    </row>
    <row r="50" spans="2:13" ht="14.4" customHeight="1" x14ac:dyDescent="0.35">
      <c r="E50" s="445" t="s">
        <v>236</v>
      </c>
      <c r="F50" s="445"/>
      <c r="G50" s="445"/>
      <c r="H50" s="209"/>
      <c r="I50" s="298">
        <f>+J50*K50</f>
        <v>0</v>
      </c>
      <c r="J50" s="298">
        <f>25508/1000000</f>
        <v>2.5507999999999999E-2</v>
      </c>
      <c r="K50" s="246">
        <f>7/(0.05)*0</f>
        <v>0</v>
      </c>
      <c r="L50" s="347" t="s">
        <v>486</v>
      </c>
      <c r="M50" s="349"/>
    </row>
    <row r="51" spans="2:13" ht="14.4" customHeight="1" x14ac:dyDescent="0.35">
      <c r="E51" s="445" t="s">
        <v>451</v>
      </c>
      <c r="F51" s="445"/>
      <c r="G51" s="445"/>
      <c r="H51" s="209">
        <v>1</v>
      </c>
      <c r="I51" s="298">
        <f>H51*J51</f>
        <v>7.9892054999999997</v>
      </c>
      <c r="J51" s="298">
        <f>15978411/2000000</f>
        <v>7.9892054999999997</v>
      </c>
      <c r="K51" s="246"/>
      <c r="L51" s="347" t="s">
        <v>486</v>
      </c>
      <c r="M51" s="344"/>
    </row>
    <row r="52" spans="2:13" ht="14.4" customHeight="1" x14ac:dyDescent="0.35">
      <c r="E52" s="445" t="s">
        <v>298</v>
      </c>
      <c r="F52" s="445"/>
      <c r="G52" s="445"/>
      <c r="H52" s="209"/>
      <c r="I52" s="210">
        <f>SUM(I46:I51)</f>
        <v>7.9892054999999997</v>
      </c>
      <c r="J52" s="214"/>
      <c r="K52" s="246"/>
      <c r="L52" s="344"/>
      <c r="M52" s="344"/>
    </row>
    <row r="53" spans="2:13" ht="14.4" customHeight="1" x14ac:dyDescent="0.35">
      <c r="E53" s="227"/>
      <c r="F53" s="227"/>
      <c r="G53" s="227"/>
      <c r="H53" s="209"/>
      <c r="I53" s="210"/>
      <c r="J53" s="214"/>
      <c r="K53" s="246"/>
      <c r="L53" s="344"/>
      <c r="M53" s="344"/>
    </row>
    <row r="54" spans="2:13" ht="14.4" customHeight="1" x14ac:dyDescent="0.35">
      <c r="E54" s="445" t="s">
        <v>175</v>
      </c>
      <c r="F54" s="445"/>
      <c r="G54" s="445"/>
      <c r="H54" s="209">
        <f>+U27</f>
        <v>0</v>
      </c>
      <c r="I54" s="210">
        <f>+H54*$J$54*$K$54</f>
        <v>0</v>
      </c>
      <c r="J54" s="211">
        <v>11.8</v>
      </c>
      <c r="K54" s="246">
        <v>4</v>
      </c>
      <c r="L54" s="344">
        <v>118.52055555555555</v>
      </c>
      <c r="M54" s="344">
        <f>+L54*K54*H54</f>
        <v>0</v>
      </c>
    </row>
    <row r="55" spans="2:13" ht="14.4" customHeight="1" x14ac:dyDescent="0.35">
      <c r="E55" s="445" t="s">
        <v>225</v>
      </c>
      <c r="F55" s="445"/>
      <c r="G55" s="445"/>
      <c r="H55" s="209"/>
      <c r="I55" s="210">
        <f>+J55*K55</f>
        <v>0</v>
      </c>
      <c r="J55" s="296">
        <f>+J47*0</f>
        <v>0</v>
      </c>
      <c r="K55" s="215">
        <f>+((15*2.8)*2.72)*K26</f>
        <v>0</v>
      </c>
      <c r="L55" s="346">
        <v>1.6919982016368774E-2</v>
      </c>
      <c r="M55" s="344">
        <f>+L55*K55</f>
        <v>0</v>
      </c>
    </row>
    <row r="56" spans="2:13" ht="14.4" customHeight="1" x14ac:dyDescent="0.35">
      <c r="E56" s="445" t="s">
        <v>297</v>
      </c>
      <c r="F56" s="445"/>
      <c r="G56" s="445"/>
      <c r="H56" s="209"/>
      <c r="I56" s="210">
        <f>SUM(I54:I55)</f>
        <v>0</v>
      </c>
      <c r="J56" s="214"/>
      <c r="K56" s="246"/>
      <c r="L56" s="347"/>
      <c r="M56" s="349"/>
    </row>
    <row r="57" spans="2:13" ht="14.4" customHeight="1" x14ac:dyDescent="0.3">
      <c r="E57" s="227"/>
      <c r="F57" s="227"/>
      <c r="G57" s="227"/>
      <c r="H57" s="209"/>
      <c r="I57" s="210"/>
      <c r="J57" s="214"/>
      <c r="K57" s="246"/>
      <c r="L57" s="213"/>
      <c r="M57" s="352">
        <f>SUM(M46:M56)</f>
        <v>0</v>
      </c>
    </row>
    <row r="58" spans="2:13" ht="14.4" customHeight="1" x14ac:dyDescent="0.3">
      <c r="L58" s="213"/>
    </row>
    <row r="59" spans="2:13" ht="7.75" customHeight="1" thickBot="1" x14ac:dyDescent="0.35"/>
    <row r="60" spans="2:13" ht="30" customHeight="1" thickBot="1" x14ac:dyDescent="0.35">
      <c r="B60" s="191"/>
      <c r="C60" s="446" t="s">
        <v>88</v>
      </c>
      <c r="D60" s="446"/>
      <c r="E60" s="192"/>
      <c r="F60" s="192"/>
      <c r="G60" s="192"/>
      <c r="H60" s="192"/>
      <c r="I60" s="216"/>
      <c r="J60" s="193"/>
    </row>
    <row r="61" spans="2:13" ht="38" customHeight="1" x14ac:dyDescent="0.3">
      <c r="C61" s="217" t="s">
        <v>89</v>
      </c>
      <c r="D61" s="195">
        <f>SUMPRODUCT((LEFT(G21:G35, 5)="Jumbo") / (COUNTIF(G21:G35, G21:G35 &amp; "") + (G21:G35="")))</f>
        <v>0</v>
      </c>
      <c r="E61" s="447" t="s">
        <v>90</v>
      </c>
      <c r="F61" s="447"/>
      <c r="G61" s="218">
        <v>0.20833333333333334</v>
      </c>
      <c r="I61" s="139"/>
      <c r="J61" s="190"/>
    </row>
    <row r="62" spans="2:13" ht="38" customHeight="1" x14ac:dyDescent="0.3">
      <c r="E62" s="447" t="s">
        <v>93</v>
      </c>
      <c r="F62" s="447"/>
      <c r="G62" s="195">
        <f>15000/(60)</f>
        <v>250</v>
      </c>
      <c r="H62" s="219" t="s">
        <v>143</v>
      </c>
      <c r="I62" s="139"/>
      <c r="J62" s="190"/>
    </row>
    <row r="63" spans="2:13" ht="38" customHeight="1" x14ac:dyDescent="0.3">
      <c r="E63" s="448" t="s">
        <v>91</v>
      </c>
      <c r="F63" s="448"/>
      <c r="G63" s="207" t="e">
        <f>+SUM(SUMIF($G$21:$G$35, "Jumbo*", $J$21:$J$35))/SUMPRODUCT((LEFT(G21:G35, 5)="Jumbo") / (COUNTIF(G21:G35, G21:G35 &amp; "") + (G21:G35="")))</f>
        <v>#DIV/0!</v>
      </c>
      <c r="H63" s="220" t="e">
        <f>+G63*24/($G$61*24)</f>
        <v>#DIV/0!</v>
      </c>
      <c r="I63" s="190"/>
      <c r="J63" s="190"/>
    </row>
    <row r="64" spans="2:13" ht="38" customHeight="1" x14ac:dyDescent="0.3">
      <c r="E64" s="448" t="s">
        <v>92</v>
      </c>
      <c r="F64" s="448"/>
      <c r="G64" s="221" t="e">
        <f>+SUM(V21:V35)/D61</f>
        <v>#DIV/0!</v>
      </c>
      <c r="H64" s="220" t="e">
        <f>+G64/G62</f>
        <v>#DIV/0!</v>
      </c>
      <c r="I64" s="190"/>
      <c r="J64" s="190"/>
    </row>
    <row r="65" spans="2:10" ht="38" customHeight="1" x14ac:dyDescent="0.3">
      <c r="G65" s="222" t="s">
        <v>87</v>
      </c>
      <c r="H65" s="139" t="s">
        <v>23</v>
      </c>
    </row>
    <row r="66" spans="2:10" ht="20" customHeight="1" x14ac:dyDescent="0.3">
      <c r="F66" s="208" t="s">
        <v>65</v>
      </c>
      <c r="G66" s="221">
        <f t="shared" ref="G66:G71" si="8" xml:space="preserve"> SUMIF($G$21:$G$35, +F66,$V$21:$V$35)</f>
        <v>0</v>
      </c>
      <c r="H66" s="220">
        <f t="shared" ref="H66:H71" si="9">+G66/$G$62</f>
        <v>0</v>
      </c>
    </row>
    <row r="67" spans="2:10" ht="20" customHeight="1" x14ac:dyDescent="0.3">
      <c r="F67" s="208" t="s">
        <v>66</v>
      </c>
      <c r="G67" s="221">
        <f t="shared" si="8"/>
        <v>0</v>
      </c>
      <c r="H67" s="220">
        <f t="shared" si="9"/>
        <v>0</v>
      </c>
    </row>
    <row r="68" spans="2:10" ht="20" customHeight="1" x14ac:dyDescent="0.3">
      <c r="F68" s="208" t="s">
        <v>67</v>
      </c>
      <c r="G68" s="221">
        <f t="shared" si="8"/>
        <v>0</v>
      </c>
      <c r="H68" s="220">
        <f t="shared" si="9"/>
        <v>0</v>
      </c>
    </row>
    <row r="69" spans="2:10" ht="20" customHeight="1" x14ac:dyDescent="0.3">
      <c r="F69" s="208" t="s">
        <v>68</v>
      </c>
      <c r="G69" s="221">
        <f t="shared" si="8"/>
        <v>0</v>
      </c>
      <c r="H69" s="220">
        <f t="shared" si="9"/>
        <v>0</v>
      </c>
    </row>
    <row r="70" spans="2:10" ht="20" customHeight="1" x14ac:dyDescent="0.3">
      <c r="F70" s="208" t="s">
        <v>69</v>
      </c>
      <c r="G70" s="221">
        <f t="shared" si="8"/>
        <v>0</v>
      </c>
      <c r="H70" s="220">
        <f t="shared" si="9"/>
        <v>0</v>
      </c>
    </row>
    <row r="71" spans="2:10" ht="20" customHeight="1" x14ac:dyDescent="0.3">
      <c r="F71" s="208" t="s">
        <v>70</v>
      </c>
      <c r="G71" s="221">
        <f t="shared" si="8"/>
        <v>0</v>
      </c>
      <c r="H71" s="220">
        <f t="shared" si="9"/>
        <v>0</v>
      </c>
    </row>
    <row r="72" spans="2:10" ht="20" customHeight="1" x14ac:dyDescent="0.3">
      <c r="F72" s="208" t="s">
        <v>146</v>
      </c>
      <c r="G72" s="223">
        <f>+SUM(G66:G71)</f>
        <v>0</v>
      </c>
      <c r="H72" s="220" t="e">
        <f>+G72/($G$62*$D$61)</f>
        <v>#DIV/0!</v>
      </c>
    </row>
    <row r="73" spans="2:10" ht="13.5" thickBot="1" x14ac:dyDescent="0.35"/>
    <row r="74" spans="2:10" ht="30" customHeight="1" thickBot="1" x14ac:dyDescent="0.35">
      <c r="B74" s="191"/>
      <c r="C74" s="446" t="s">
        <v>107</v>
      </c>
      <c r="D74" s="446"/>
      <c r="E74" s="192"/>
      <c r="F74" s="192"/>
      <c r="G74" s="192"/>
      <c r="H74" s="192"/>
      <c r="I74" s="216"/>
      <c r="J74" s="193"/>
    </row>
    <row r="75" spans="2:10" ht="38" customHeight="1" x14ac:dyDescent="0.3">
      <c r="C75" s="208" t="s">
        <v>95</v>
      </c>
      <c r="D75" s="195">
        <f>SUMPRODUCT((LEFT(G21:G35, 5)="Scoop") / (COUNTIF(G21:G35, G21:G35 &amp; "") + (G21:G35="")))</f>
        <v>1</v>
      </c>
      <c r="E75" s="447" t="s">
        <v>90</v>
      </c>
      <c r="F75" s="447"/>
      <c r="G75" s="218">
        <v>0.20833333333333334</v>
      </c>
      <c r="I75" s="139"/>
      <c r="J75" s="190"/>
    </row>
    <row r="76" spans="2:10" ht="38" customHeight="1" x14ac:dyDescent="0.3">
      <c r="C76" s="208" t="s">
        <v>145</v>
      </c>
      <c r="D76" s="195">
        <v>4.9000000000000004</v>
      </c>
      <c r="E76" s="447" t="s">
        <v>97</v>
      </c>
      <c r="F76" s="447"/>
      <c r="G76" s="195">
        <f>15000/(60)</f>
        <v>250</v>
      </c>
      <c r="H76" s="219" t="s">
        <v>23</v>
      </c>
      <c r="I76" s="139"/>
      <c r="J76" s="190"/>
    </row>
    <row r="77" spans="2:10" ht="38" customHeight="1" x14ac:dyDescent="0.3">
      <c r="E77" s="448" t="s">
        <v>98</v>
      </c>
      <c r="F77" s="448"/>
      <c r="G77" s="207">
        <f>+SUM(SUMIF($G$21:$G$35, "Scoop*", $J$21:$J$35))/SUMPRODUCT((LEFT(G21:G35, 5)="Scoop") / (COUNTIF(G21:G35, G21:G35 &amp; "") + (G21:G35="")))</f>
        <v>0.16319444444444442</v>
      </c>
      <c r="H77" s="220">
        <f>+G77*24/($G$75*24)</f>
        <v>0.78333333333333321</v>
      </c>
      <c r="I77" s="190"/>
      <c r="J77" s="190"/>
    </row>
    <row r="78" spans="2:10" ht="38" customHeight="1" x14ac:dyDescent="0.3">
      <c r="E78" s="448" t="s">
        <v>99</v>
      </c>
      <c r="F78" s="448"/>
      <c r="G78" s="221">
        <f>+SUM(W21:W35)*D76/D75</f>
        <v>0</v>
      </c>
      <c r="H78" s="220">
        <f>+G78/G76</f>
        <v>0</v>
      </c>
      <c r="I78" s="190"/>
      <c r="J78" s="190"/>
    </row>
    <row r="79" spans="2:10" ht="38" customHeight="1" x14ac:dyDescent="0.3">
      <c r="G79" s="222" t="s">
        <v>96</v>
      </c>
      <c r="H79" s="139" t="s">
        <v>23</v>
      </c>
    </row>
    <row r="80" spans="2:10" ht="20" customHeight="1" x14ac:dyDescent="0.3">
      <c r="F80" s="208" t="s">
        <v>71</v>
      </c>
      <c r="G80" s="221">
        <f t="shared" ref="G80:G85" si="10" xml:space="preserve"> SUMIF($G$21:$G$35, +F80,$W$21:$W$35)*$D$76</f>
        <v>0</v>
      </c>
      <c r="H80" s="220">
        <f>+G80/$G$76</f>
        <v>0</v>
      </c>
    </row>
    <row r="81" spans="2:10" ht="20" customHeight="1" x14ac:dyDescent="0.3">
      <c r="F81" s="208" t="s">
        <v>72</v>
      </c>
      <c r="G81" s="221">
        <f t="shared" si="10"/>
        <v>0</v>
      </c>
      <c r="H81" s="220">
        <f t="shared" ref="H81:H86" si="11">+G81/$G$76</f>
        <v>0</v>
      </c>
    </row>
    <row r="82" spans="2:10" ht="20" customHeight="1" x14ac:dyDescent="0.3">
      <c r="F82" s="208" t="s">
        <v>73</v>
      </c>
      <c r="G82" s="221">
        <f t="shared" si="10"/>
        <v>0</v>
      </c>
      <c r="H82" s="220">
        <f t="shared" si="11"/>
        <v>0</v>
      </c>
    </row>
    <row r="83" spans="2:10" ht="20" customHeight="1" x14ac:dyDescent="0.3">
      <c r="F83" s="208" t="s">
        <v>74</v>
      </c>
      <c r="G83" s="221">
        <f t="shared" si="10"/>
        <v>0</v>
      </c>
      <c r="H83" s="220">
        <f t="shared" si="11"/>
        <v>0</v>
      </c>
    </row>
    <row r="84" spans="2:10" ht="20" customHeight="1" x14ac:dyDescent="0.3">
      <c r="F84" s="208" t="s">
        <v>75</v>
      </c>
      <c r="G84" s="221">
        <f t="shared" si="10"/>
        <v>0</v>
      </c>
      <c r="H84" s="220">
        <f t="shared" si="11"/>
        <v>0</v>
      </c>
    </row>
    <row r="85" spans="2:10" ht="20" customHeight="1" x14ac:dyDescent="0.3">
      <c r="F85" s="208" t="s">
        <v>76</v>
      </c>
      <c r="G85" s="221">
        <f t="shared" si="10"/>
        <v>0</v>
      </c>
      <c r="H85" s="220">
        <f t="shared" si="11"/>
        <v>0</v>
      </c>
    </row>
    <row r="86" spans="2:10" ht="20" customHeight="1" x14ac:dyDescent="0.3">
      <c r="F86" s="208" t="s">
        <v>146</v>
      </c>
      <c r="G86" s="223">
        <f>+SUM(G80:G85)</f>
        <v>0</v>
      </c>
      <c r="H86" s="220">
        <f t="shared" si="11"/>
        <v>0</v>
      </c>
    </row>
    <row r="87" spans="2:10" ht="13.5" thickBot="1" x14ac:dyDescent="0.35"/>
    <row r="88" spans="2:10" ht="30" customHeight="1" thickBot="1" x14ac:dyDescent="0.35">
      <c r="B88" s="191"/>
      <c r="C88" s="446" t="s">
        <v>149</v>
      </c>
      <c r="D88" s="446"/>
      <c r="E88" s="192"/>
      <c r="F88" s="192"/>
      <c r="G88" s="192"/>
      <c r="H88" s="192"/>
      <c r="I88" s="216"/>
      <c r="J88" s="193"/>
    </row>
    <row r="89" spans="2:10" ht="25.25" customHeight="1" x14ac:dyDescent="0.3">
      <c r="C89" s="208" t="s">
        <v>150</v>
      </c>
      <c r="D89" s="195">
        <f>SUMPRODUCT((LEFT(G21:G35, 8)="Roboshot") / (COUNTIF(G21:G35, G21:G35 &amp; "") + (G21:G35="")))</f>
        <v>0</v>
      </c>
      <c r="E89" s="447" t="s">
        <v>90</v>
      </c>
      <c r="F89" s="447"/>
      <c r="G89" s="218">
        <v>0.20833333333333334</v>
      </c>
    </row>
    <row r="90" spans="2:10" x14ac:dyDescent="0.3">
      <c r="C90" s="208"/>
      <c r="D90" s="195"/>
      <c r="E90" s="447" t="s">
        <v>97</v>
      </c>
      <c r="F90" s="447"/>
      <c r="G90" s="195">
        <v>12</v>
      </c>
      <c r="H90" s="219" t="s">
        <v>23</v>
      </c>
    </row>
    <row r="92" spans="2:10" x14ac:dyDescent="0.3">
      <c r="G92" s="222" t="s">
        <v>96</v>
      </c>
      <c r="H92" s="139" t="s">
        <v>23</v>
      </c>
    </row>
    <row r="93" spans="2:10" x14ac:dyDescent="0.3">
      <c r="F93" s="208" t="s">
        <v>77</v>
      </c>
      <c r="G93" s="221">
        <f xml:space="preserve"> SUMIF($G$21:$G$35, +F93,$X$21:$X$35)</f>
        <v>0</v>
      </c>
      <c r="H93" s="220">
        <f>+G93/$G$90</f>
        <v>0</v>
      </c>
    </row>
    <row r="94" spans="2:10" x14ac:dyDescent="0.3">
      <c r="F94" s="208" t="s">
        <v>78</v>
      </c>
      <c r="G94" s="221">
        <f xml:space="preserve"> SUMIF($G$21:$G$35, +F94,$X$21:$X$35)</f>
        <v>0</v>
      </c>
      <c r="H94" s="220">
        <f t="shared" ref="H94:H95" si="12">+G94/$G$90</f>
        <v>0</v>
      </c>
    </row>
    <row r="95" spans="2:10" x14ac:dyDescent="0.3">
      <c r="F95" s="208" t="s">
        <v>79</v>
      </c>
      <c r="G95" s="221">
        <f xml:space="preserve"> SUMIF($G$21:$G$35, +F95,$X$21:$X$35)</f>
        <v>0</v>
      </c>
      <c r="H95" s="220">
        <f t="shared" si="12"/>
        <v>0</v>
      </c>
    </row>
    <row r="96" spans="2:10" x14ac:dyDescent="0.3">
      <c r="F96" s="208" t="s">
        <v>146</v>
      </c>
      <c r="G96" s="223">
        <f>+SUM(G93:G95)</f>
        <v>0</v>
      </c>
      <c r="H96" s="220">
        <f>+G96/$G$90</f>
        <v>0</v>
      </c>
    </row>
  </sheetData>
  <mergeCells count="41">
    <mergeCell ref="E47:G47"/>
    <mergeCell ref="K8:L8"/>
    <mergeCell ref="B1:D4"/>
    <mergeCell ref="E2:R2"/>
    <mergeCell ref="E3:R4"/>
    <mergeCell ref="K6:L6"/>
    <mergeCell ref="K7:L7"/>
    <mergeCell ref="E55:G55"/>
    <mergeCell ref="E56:G56"/>
    <mergeCell ref="E48:G48"/>
    <mergeCell ref="K9:L9"/>
    <mergeCell ref="K10:L10"/>
    <mergeCell ref="K11:L11"/>
    <mergeCell ref="K12:L12"/>
    <mergeCell ref="B14:S14"/>
    <mergeCell ref="C40:D40"/>
    <mergeCell ref="G40:H40"/>
    <mergeCell ref="I40:J40"/>
    <mergeCell ref="K40:L40"/>
    <mergeCell ref="E41:F41"/>
    <mergeCell ref="E42:F42"/>
    <mergeCell ref="E43:F43"/>
    <mergeCell ref="E46:G46"/>
    <mergeCell ref="E49:G49"/>
    <mergeCell ref="E50:G50"/>
    <mergeCell ref="E51:G51"/>
    <mergeCell ref="E52:G52"/>
    <mergeCell ref="E54:G54"/>
    <mergeCell ref="C60:D60"/>
    <mergeCell ref="E61:F61"/>
    <mergeCell ref="E62:F62"/>
    <mergeCell ref="E63:F63"/>
    <mergeCell ref="E89:F89"/>
    <mergeCell ref="E64:F64"/>
    <mergeCell ref="E90:F90"/>
    <mergeCell ref="C74:D74"/>
    <mergeCell ref="E75:F75"/>
    <mergeCell ref="E76:F76"/>
    <mergeCell ref="E77:F77"/>
    <mergeCell ref="E78:F78"/>
    <mergeCell ref="C88:D88"/>
  </mergeCells>
  <conditionalFormatting sqref="H42:H43 J42:J43">
    <cfRule type="cellIs" dxfId="251" priority="13" operator="greaterThan">
      <formula>0.9</formula>
    </cfRule>
    <cfRule type="cellIs" dxfId="250" priority="14" operator="between">
      <formula>0.81</formula>
      <formula>0.89</formula>
    </cfRule>
    <cfRule type="cellIs" dxfId="249" priority="15" operator="lessThan">
      <formula>0.8</formula>
    </cfRule>
  </conditionalFormatting>
  <conditionalFormatting sqref="H63:H64">
    <cfRule type="cellIs" dxfId="248" priority="16" operator="greaterThan">
      <formula>0.9</formula>
    </cfRule>
    <cfRule type="cellIs" dxfId="247" priority="17" operator="between">
      <formula>0.81</formula>
      <formula>0.89</formula>
    </cfRule>
    <cfRule type="cellIs" dxfId="246" priority="18" operator="lessThan">
      <formula>0.8</formula>
    </cfRule>
  </conditionalFormatting>
  <conditionalFormatting sqref="H66:H72">
    <cfRule type="cellIs" dxfId="245" priority="19" operator="greaterThan">
      <formula>0.9</formula>
    </cfRule>
    <cfRule type="cellIs" dxfId="244" priority="20" operator="between">
      <formula>0.81</formula>
      <formula>0.89</formula>
    </cfRule>
    <cfRule type="cellIs" dxfId="243" priority="21" operator="lessThan">
      <formula>0.8</formula>
    </cfRule>
  </conditionalFormatting>
  <conditionalFormatting sqref="H77:H78">
    <cfRule type="cellIs" dxfId="242" priority="7" operator="greaterThan">
      <formula>0.9</formula>
    </cfRule>
    <cfRule type="cellIs" dxfId="241" priority="8" operator="between">
      <formula>0.81</formula>
      <formula>0.89</formula>
    </cfRule>
    <cfRule type="cellIs" dxfId="240" priority="9" operator="lessThan">
      <formula>0.8</formula>
    </cfRule>
  </conditionalFormatting>
  <conditionalFormatting sqref="H80:H86">
    <cfRule type="cellIs" dxfId="239" priority="10" operator="greaterThan">
      <formula>0.9</formula>
    </cfRule>
    <cfRule type="cellIs" dxfId="238" priority="11" operator="between">
      <formula>0.81</formula>
      <formula>0.89</formula>
    </cfRule>
    <cfRule type="cellIs" dxfId="237" priority="12" operator="lessThan">
      <formula>0.8</formula>
    </cfRule>
  </conditionalFormatting>
  <conditionalFormatting sqref="H93:H96">
    <cfRule type="cellIs" dxfId="236" priority="4" operator="greaterThan">
      <formula>0.9</formula>
    </cfRule>
    <cfRule type="cellIs" dxfId="235" priority="5" operator="between">
      <formula>0.81</formula>
      <formula>0.89</formula>
    </cfRule>
    <cfRule type="cellIs" dxfId="234" priority="6" operator="lessThan">
      <formula>0.8</formula>
    </cfRule>
  </conditionalFormatting>
  <conditionalFormatting sqref="L42:L43">
    <cfRule type="cellIs" dxfId="233" priority="1" operator="greaterThan">
      <formula>0.9</formula>
    </cfRule>
    <cfRule type="cellIs" dxfId="232" priority="2" operator="between">
      <formula>0.81</formula>
      <formula>0.89</formula>
    </cfRule>
    <cfRule type="cellIs" dxfId="231" priority="3" operator="lessThan">
      <formula>0.8</formula>
    </cfRule>
  </conditionalFormatting>
  <pageMargins left="0.25" right="0.25" top="0.75" bottom="0.75" header="0.3" footer="0.3"/>
  <pageSetup scale="3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FD5AE14-F864-49D8-ABE4-53FE883896EF}">
          <x14:formula1>
            <xm:f>Datos!$B$3:$B$8</xm:f>
          </x14:formula1>
          <xm:sqref>E30:E38 E21:E27</xm:sqref>
        </x14:dataValidation>
        <x14:dataValidation type="list" allowBlank="1" showInputMessage="1" showErrorMessage="1" xr:uid="{7E3AE65F-A27D-4333-BFF7-AE98AC4F59E4}">
          <x14:formula1>
            <xm:f>Datos!$D$3:$D$27</xm:f>
          </x14:formula1>
          <xm:sqref>F30:F38 F21:F27</xm:sqref>
        </x14:dataValidation>
        <x14:dataValidation type="list" allowBlank="1" showInputMessage="1" showErrorMessage="1" xr:uid="{D2E81B2B-92C3-4875-855A-6AB16365F43C}">
          <x14:formula1>
            <xm:f>Datos!$W$3:$W$12</xm:f>
          </x14:formula1>
          <xm:sqref>L30:L38 L21:L27</xm:sqref>
        </x14:dataValidation>
        <x14:dataValidation type="list" allowBlank="1" showInputMessage="1" showErrorMessage="1" xr:uid="{2A1BBB21-E43C-474F-BDEB-3C0528274BA5}">
          <x14:formula1>
            <xm:f>Datos!$F$3:$F$41</xm:f>
          </x14:formula1>
          <xm:sqref>G30:G38 G21:G27</xm:sqref>
        </x14:dataValidation>
        <x14:dataValidation type="list" allowBlank="1" showInputMessage="1" showErrorMessage="1" xr:uid="{708A0717-6442-4223-AB30-EDA63EBAB29E}">
          <x14:formula1>
            <xm:f>Datos!$H$3:$H$26</xm:f>
          </x14:formula1>
          <xm:sqref>D27 D38</xm:sqref>
        </x14:dataValidation>
        <x14:dataValidation type="list" allowBlank="1" showInputMessage="1" showErrorMessage="1" xr:uid="{07B914E9-C5E5-4452-B272-9CFB4D8F30B7}">
          <x14:formula1>
            <xm:f>Datos!$H$3:$H$34</xm:f>
          </x14:formula1>
          <xm:sqref>D30:D37 D21:D26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A33AD-7D52-4AE1-882E-5A7CA5ABE36E}">
  <sheetPr>
    <pageSetUpPr fitToPage="1"/>
  </sheetPr>
  <dimension ref="B1:X94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O22" sqref="C22:O22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+G40</f>
        <v>0.26388888888888873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+H41</f>
        <v>0.5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+G70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+G84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+G94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">
        <v>493</v>
      </c>
      <c r="D21" s="173" t="s">
        <v>349</v>
      </c>
      <c r="E21" s="172" t="s">
        <v>6</v>
      </c>
      <c r="F21" s="172" t="s">
        <v>165</v>
      </c>
      <c r="G21" s="172"/>
      <c r="H21" s="174">
        <v>0.90277777777777779</v>
      </c>
      <c r="I21" s="174">
        <v>0.99305555555555558</v>
      </c>
      <c r="J21" s="175">
        <f t="shared" ref="J21:J22" si="0">MOD(I21-H21, 1)</f>
        <v>9.027777777777779E-2</v>
      </c>
      <c r="K21" s="178"/>
      <c r="L21" s="177"/>
      <c r="M21" s="178"/>
      <c r="N21" s="179">
        <v>1</v>
      </c>
      <c r="O21" s="186" t="s">
        <v>468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">
        <v>493</v>
      </c>
      <c r="D22" s="173" t="s">
        <v>52</v>
      </c>
      <c r="E22" s="172" t="s">
        <v>6</v>
      </c>
      <c r="F22" s="172" t="s">
        <v>165</v>
      </c>
      <c r="G22" s="172"/>
      <c r="H22" s="174">
        <v>1.0416666666666667</v>
      </c>
      <c r="I22" s="174">
        <v>1.2152777777777777</v>
      </c>
      <c r="J22" s="175">
        <f t="shared" si="0"/>
        <v>0.17361111111111094</v>
      </c>
      <c r="K22" s="178">
        <v>45</v>
      </c>
      <c r="L22" s="177" t="s">
        <v>126</v>
      </c>
      <c r="M22" s="178"/>
      <c r="N22" s="179">
        <v>0</v>
      </c>
      <c r="O22" s="186" t="s">
        <v>500</v>
      </c>
      <c r="P22" s="181"/>
      <c r="Q22" s="174"/>
      <c r="R22" s="172"/>
      <c r="S22" s="175">
        <f t="shared" ref="S22:S25" si="1">+MOD(R22-Q22,1)</f>
        <v>0</v>
      </c>
      <c r="U22" s="182">
        <f>+IFERROR(VLOOKUP(D22,Datos!$R$3:$T$19,3,FALSE), "0")*N22</f>
        <v>0</v>
      </c>
      <c r="V22" s="183" t="str">
        <f t="shared" ref="V22:V25" si="2">IF(OR(D22="Perforación de Fortificación", D22="Perforación de Avance", D22="Perforación Desquinche"), K22*M22, "")</f>
        <v/>
      </c>
      <c r="W22" s="183" t="str">
        <f t="shared" ref="W22:W25" si="3">IF(D22="Extracción de Marina Disparo",K22,"")</f>
        <v/>
      </c>
      <c r="X22" s="183" t="str">
        <f t="shared" ref="X22:X25" si="4">IF(OR(D22="Shotcrete", D22="Pre Shotcrete"), K22, "")</f>
        <v/>
      </c>
    </row>
    <row r="23" spans="2:24" ht="38" customHeight="1" x14ac:dyDescent="0.3">
      <c r="B23" s="172"/>
      <c r="C23" s="173"/>
      <c r="D23" s="173"/>
      <c r="E23" s="172"/>
      <c r="F23" s="172"/>
      <c r="G23" s="172"/>
      <c r="H23" s="174"/>
      <c r="I23" s="174"/>
      <c r="J23" s="175"/>
      <c r="K23" s="178"/>
      <c r="L23" s="177"/>
      <c r="M23" s="178"/>
      <c r="N23" s="179"/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/>
      <c r="C24" s="173"/>
      <c r="D24" s="173"/>
      <c r="E24" s="172"/>
      <c r="F24" s="172"/>
      <c r="G24" s="172"/>
      <c r="H24" s="174"/>
      <c r="I24" s="174"/>
      <c r="J24" s="175"/>
      <c r="K24" s="178"/>
      <c r="L24" s="177"/>
      <c r="M24" s="178"/>
      <c r="N24" s="179"/>
      <c r="O24" s="186"/>
      <c r="P24" s="181"/>
      <c r="Q24" s="174"/>
      <c r="R24" s="172"/>
      <c r="S24" s="175">
        <f t="shared" si="1"/>
        <v>0</v>
      </c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 t="s">
        <v>329</v>
      </c>
      <c r="J25" s="175">
        <f>MOD(I22-H21, 1)</f>
        <v>0.31249999999999989</v>
      </c>
      <c r="K25" s="178"/>
      <c r="L25" s="177"/>
      <c r="M25" s="178"/>
      <c r="N25" s="179"/>
      <c r="O25" s="186" t="s">
        <v>436</v>
      </c>
      <c r="P25" s="172"/>
      <c r="Q25" s="172"/>
      <c r="R25" s="172"/>
      <c r="S25" s="175">
        <f t="shared" si="1"/>
        <v>0</v>
      </c>
      <c r="U25" s="182">
        <f>SUM(U21:U23)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x14ac:dyDescent="0.3">
      <c r="B26" s="185" t="s">
        <v>158</v>
      </c>
      <c r="C26" s="63" t="s">
        <v>194</v>
      </c>
      <c r="D26" s="63"/>
      <c r="E26" s="63"/>
      <c r="F26" s="63"/>
      <c r="G26" s="63"/>
      <c r="H26" s="63"/>
      <c r="I26" s="63"/>
      <c r="J26" s="64"/>
      <c r="K26" s="64"/>
      <c r="L26" s="171"/>
      <c r="M26" s="63"/>
      <c r="N26" s="64"/>
      <c r="O26" s="64"/>
      <c r="P26" s="63"/>
      <c r="Q26" s="63"/>
      <c r="R26" s="63"/>
      <c r="S26" s="64"/>
      <c r="U26" s="63"/>
      <c r="V26" s="64"/>
      <c r="W26" s="64"/>
      <c r="X26" s="64"/>
    </row>
    <row r="27" spans="2:24" ht="52" x14ac:dyDescent="0.3">
      <c r="B27" s="63" t="s">
        <v>3</v>
      </c>
      <c r="C27" s="63" t="s">
        <v>2</v>
      </c>
      <c r="D27" s="63" t="s">
        <v>5</v>
      </c>
      <c r="E27" s="63" t="s">
        <v>22</v>
      </c>
      <c r="F27" s="63" t="s">
        <v>139</v>
      </c>
      <c r="G27" s="63" t="s">
        <v>29</v>
      </c>
      <c r="H27" s="63" t="s">
        <v>121</v>
      </c>
      <c r="I27" s="63" t="s">
        <v>4</v>
      </c>
      <c r="J27" s="64" t="s">
        <v>122</v>
      </c>
      <c r="K27" s="64" t="s">
        <v>131</v>
      </c>
      <c r="L27" s="171" t="s">
        <v>123</v>
      </c>
      <c r="M27" s="63" t="s">
        <v>134</v>
      </c>
      <c r="N27" s="64" t="s">
        <v>24</v>
      </c>
      <c r="O27" s="64" t="s">
        <v>130</v>
      </c>
      <c r="P27" s="63" t="s">
        <v>132</v>
      </c>
      <c r="Q27" s="63" t="s">
        <v>121</v>
      </c>
      <c r="R27" s="63" t="s">
        <v>4</v>
      </c>
      <c r="S27" s="64" t="s">
        <v>137</v>
      </c>
      <c r="U27" s="63" t="s">
        <v>109</v>
      </c>
      <c r="V27" s="64" t="s">
        <v>87</v>
      </c>
      <c r="W27" s="64" t="s">
        <v>128</v>
      </c>
      <c r="X27" s="64" t="s">
        <v>128</v>
      </c>
    </row>
    <row r="28" spans="2:24" ht="38" customHeight="1" x14ac:dyDescent="0.3">
      <c r="B28" s="172">
        <v>3700</v>
      </c>
      <c r="C28" s="173" t="str">
        <f>+Datos!$R$23</f>
        <v>Ciclo Minero 5,2 x 5,6 m
Galería Acceso Portal de Servicio</v>
      </c>
      <c r="D28" s="173" t="s">
        <v>110</v>
      </c>
      <c r="E28" s="172" t="s">
        <v>6</v>
      </c>
      <c r="F28" s="172" t="s">
        <v>166</v>
      </c>
      <c r="G28" s="172"/>
      <c r="H28" s="174">
        <v>0.83333333333333337</v>
      </c>
      <c r="I28" s="174">
        <v>1.3333333333333333</v>
      </c>
      <c r="J28" s="175">
        <f>I28-H28</f>
        <v>0.49999999999999989</v>
      </c>
      <c r="K28" s="178"/>
      <c r="L28" s="177"/>
      <c r="M28" s="178"/>
      <c r="N28" s="179">
        <v>1</v>
      </c>
      <c r="O28" s="186" t="s">
        <v>428</v>
      </c>
      <c r="P28" s="225"/>
      <c r="Q28" s="174"/>
      <c r="R28" s="174"/>
      <c r="S28" s="175"/>
      <c r="U28" s="187">
        <f>+IFERROR(VLOOKUP(D28,Datos!$R$24:$T$40,3,FALSE), "0")*N28</f>
        <v>0</v>
      </c>
      <c r="V28" s="183" t="str">
        <f t="shared" ref="V28:V36" si="5">IF(OR(D28="Perforación de Fortificación", D28="Perforación de Avance", D28="Perforación Desquinche"), K28*M28, "")</f>
        <v/>
      </c>
      <c r="W28" s="183" t="str">
        <f>IF(D28="Extracción de Marina Disparo",K28,"")</f>
        <v/>
      </c>
      <c r="X28" s="183" t="str">
        <f t="shared" ref="X28:X36" si="6">IF(OR(D28="Shotcrete", D28="Pre Shotcrete"), K28, "")</f>
        <v/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/>
      <c r="E29" s="172"/>
      <c r="F29" s="172"/>
      <c r="G29" s="172"/>
      <c r="H29" s="174"/>
      <c r="I29" s="174"/>
      <c r="J29" s="175"/>
      <c r="K29" s="178"/>
      <c r="L29" s="177"/>
      <c r="M29" s="178"/>
      <c r="N29" s="179"/>
      <c r="O29" s="225"/>
      <c r="P29" s="173"/>
      <c r="Q29" s="174"/>
      <c r="R29" s="174"/>
      <c r="S29" s="175"/>
      <c r="U29" s="187">
        <f>+IFERROR(VLOOKUP(D29,Datos!$R$24:$T$40,3,FALSE), "0")*N29</f>
        <v>0</v>
      </c>
      <c r="V29" s="183" t="str">
        <f t="shared" si="5"/>
        <v/>
      </c>
      <c r="W29" s="183" t="str">
        <f>IF(D29="Extracción de Marina Disparo",K29,"")</f>
        <v/>
      </c>
      <c r="X29" s="183" t="str">
        <f t="shared" si="6"/>
        <v/>
      </c>
    </row>
    <row r="30" spans="2:24" ht="53.4" customHeight="1" x14ac:dyDescent="0.3">
      <c r="B30" s="172">
        <v>3700</v>
      </c>
      <c r="C30" s="173" t="str">
        <f>+C28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81"/>
      <c r="Q30" s="174"/>
      <c r="R30" s="174"/>
      <c r="S30" s="175"/>
      <c r="U30" s="187">
        <f>+IFERROR(VLOOKUP(D30,Datos!$R$24:$T$40,3,FALSE), "0")*N30</f>
        <v>0</v>
      </c>
      <c r="V30" s="183" t="str">
        <f t="shared" si="5"/>
        <v/>
      </c>
      <c r="W30" s="183" t="str">
        <f t="shared" ref="W30:W36" si="7">IF(D30="Extracción de Marina Disparo",K30,"")</f>
        <v/>
      </c>
      <c r="X30" s="183" t="str">
        <f t="shared" si="6"/>
        <v/>
      </c>
    </row>
    <row r="31" spans="2:24" ht="38" customHeight="1" x14ac:dyDescent="0.3">
      <c r="B31" s="172">
        <v>3700</v>
      </c>
      <c r="C31" s="173" t="s">
        <v>397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186"/>
      <c r="P31" s="172"/>
      <c r="Q31" s="172"/>
      <c r="R31" s="172"/>
      <c r="S31" s="175"/>
      <c r="U31" s="187">
        <f>+IFERROR(VLOOKUP(D31,Datos!$R$24:$T$40,3,FALSE), "0")*N31</f>
        <v>0</v>
      </c>
      <c r="V31" s="183" t="str">
        <f t="shared" si="5"/>
        <v/>
      </c>
      <c r="W31" s="183" t="str">
        <f t="shared" si="7"/>
        <v/>
      </c>
      <c r="X31" s="183"/>
    </row>
    <row r="32" spans="2:24" ht="38" customHeight="1" x14ac:dyDescent="0.3">
      <c r="B32" s="172">
        <v>3700</v>
      </c>
      <c r="C32" s="173" t="str">
        <f>+C31</f>
        <v>Fróntón Bodega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5"/>
        <v/>
      </c>
      <c r="W32" s="183" t="str">
        <f t="shared" si="7"/>
        <v/>
      </c>
      <c r="X32" s="183" t="str">
        <f t="shared" si="6"/>
        <v/>
      </c>
    </row>
    <row r="33" spans="2:24" ht="38" customHeight="1" x14ac:dyDescent="0.3">
      <c r="B33" s="172"/>
      <c r="C33" s="173"/>
      <c r="D33" s="173"/>
      <c r="E33" s="172"/>
      <c r="F33" s="172"/>
      <c r="G33" s="172"/>
      <c r="H33" s="174"/>
      <c r="I33" s="174"/>
      <c r="J33" s="175">
        <f>MOD(I33-H33, 1)</f>
        <v>0</v>
      </c>
      <c r="K33" s="178"/>
      <c r="L33" s="177"/>
      <c r="M33" s="178"/>
      <c r="N33" s="179"/>
      <c r="O33" s="225"/>
      <c r="P33" s="172"/>
      <c r="Q33" s="172"/>
      <c r="R33" s="172"/>
      <c r="S33" s="175">
        <f t="shared" ref="S33:S36" si="8">+MOD(R33-Q33,1)</f>
        <v>0</v>
      </c>
      <c r="U33" s="187">
        <f>+IFERROR(VLOOKUP(D33,Datos!$R$24:$T$40,3,FALSE), "0")*N33</f>
        <v>0</v>
      </c>
      <c r="V33" s="183" t="str">
        <f t="shared" si="5"/>
        <v/>
      </c>
      <c r="W33" s="183" t="str">
        <f t="shared" si="7"/>
        <v/>
      </c>
      <c r="X33" s="183" t="str">
        <f t="shared" si="6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186"/>
      <c r="P34" s="172"/>
      <c r="Q34" s="172"/>
      <c r="R34" s="172"/>
      <c r="S34" s="175">
        <f t="shared" si="8"/>
        <v>0</v>
      </c>
      <c r="U34" s="187"/>
      <c r="V34" s="183" t="str">
        <f t="shared" si="5"/>
        <v/>
      </c>
      <c r="W34" s="183" t="str">
        <f t="shared" si="7"/>
        <v/>
      </c>
      <c r="X34" s="183" t="str">
        <f t="shared" si="6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8"/>
        <v>0</v>
      </c>
      <c r="U35" s="187"/>
      <c r="V35" s="183" t="str">
        <f t="shared" si="5"/>
        <v/>
      </c>
      <c r="W35" s="183" t="str">
        <f t="shared" si="7"/>
        <v/>
      </c>
      <c r="X35" s="183" t="str">
        <f t="shared" si="6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 t="s">
        <v>329</v>
      </c>
      <c r="J36" s="175"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8"/>
        <v>0</v>
      </c>
      <c r="U36" s="182">
        <f>SUM(U28:U35)</f>
        <v>0</v>
      </c>
      <c r="V36" s="183" t="str">
        <f t="shared" si="5"/>
        <v/>
      </c>
      <c r="W36" s="183" t="str">
        <f t="shared" si="7"/>
        <v/>
      </c>
      <c r="X36" s="183" t="str">
        <f t="shared" si="6"/>
        <v/>
      </c>
    </row>
    <row r="37" spans="2:24" ht="15.65" customHeight="1" thickBot="1" x14ac:dyDescent="0.35">
      <c r="B37" s="190"/>
      <c r="C37" s="190"/>
      <c r="D37" s="190"/>
      <c r="E37" s="190"/>
      <c r="F37" s="190"/>
      <c r="G37" s="190"/>
      <c r="H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</row>
    <row r="38" spans="2:24" ht="30" customHeight="1" thickBot="1" x14ac:dyDescent="0.35">
      <c r="B38" s="191"/>
      <c r="C38" s="446" t="s">
        <v>64</v>
      </c>
      <c r="D38" s="446"/>
      <c r="E38" s="192"/>
      <c r="F38" s="192"/>
      <c r="G38" s="431">
        <v>3500</v>
      </c>
      <c r="H38" s="432"/>
      <c r="I38" s="431">
        <v>3700</v>
      </c>
      <c r="J38" s="432"/>
      <c r="K38" s="433" t="s">
        <v>146</v>
      </c>
      <c r="L38" s="434"/>
      <c r="M38" s="190"/>
      <c r="N38" s="190"/>
      <c r="O38" s="190"/>
      <c r="P38" s="190"/>
      <c r="Q38" s="190"/>
      <c r="R38" s="190"/>
      <c r="S38" s="190"/>
    </row>
    <row r="39" spans="2:24" ht="30" customHeight="1" x14ac:dyDescent="0.3">
      <c r="C39" s="194" t="s">
        <v>48</v>
      </c>
      <c r="D39" s="195">
        <f>SUMPRODUCT((LEFT(F21:F33, 1)="C") / (COUNTIF(F21:F33, F21:F33 &amp; "") + (F21:F33="")))</f>
        <v>0</v>
      </c>
      <c r="E39" s="447" t="s">
        <v>90</v>
      </c>
      <c r="F39" s="447"/>
      <c r="G39" s="196">
        <v>0.26041666666666669</v>
      </c>
      <c r="H39" s="197" t="s">
        <v>23</v>
      </c>
      <c r="I39" s="196">
        <v>0.26041666666666669</v>
      </c>
      <c r="J39" s="197" t="s">
        <v>23</v>
      </c>
      <c r="K39" s="198">
        <f>+G39</f>
        <v>0.26041666666666669</v>
      </c>
      <c r="L39" s="197" t="s">
        <v>23</v>
      </c>
      <c r="M39" s="190"/>
      <c r="N39" s="190"/>
      <c r="O39" s="190"/>
      <c r="P39" s="190"/>
      <c r="Q39" s="190"/>
      <c r="R39" s="190"/>
      <c r="S39" s="190"/>
    </row>
    <row r="40" spans="2:24" x14ac:dyDescent="0.3">
      <c r="C40" s="194" t="s">
        <v>49</v>
      </c>
      <c r="D40" s="195">
        <f>SUMPRODUCT((LEFT(F21:F33, 1)="O") / (COUNTIF(F21:F33, F21:F33 &amp; "") + (F21:F33="")))</f>
        <v>0</v>
      </c>
      <c r="E40" s="448" t="s">
        <v>198</v>
      </c>
      <c r="F40" s="448"/>
      <c r="G40" s="199">
        <f>SUM(J21:J23)</f>
        <v>0.26388888888888873</v>
      </c>
      <c r="H40" s="200">
        <f>+G40*24/($G$39*24)</f>
        <v>1.0133333333333328</v>
      </c>
      <c r="I40" s="199">
        <f>SUM(J28:J33)</f>
        <v>0.49999999999999989</v>
      </c>
      <c r="J40" s="200">
        <f>+I40*24/($I$39*24)</f>
        <v>1.9199999999999995</v>
      </c>
      <c r="K40" s="201">
        <f>AVERAGE(G40+I40)/2</f>
        <v>0.38194444444444431</v>
      </c>
      <c r="L40" s="200">
        <f>+K40*24/($K$39*24)</f>
        <v>1.4666666666666663</v>
      </c>
      <c r="M40" s="190"/>
      <c r="N40" s="190"/>
      <c r="O40" s="190"/>
      <c r="P40" s="190"/>
      <c r="Q40" s="190"/>
      <c r="R40" s="190"/>
      <c r="S40" s="190"/>
    </row>
    <row r="41" spans="2:24" ht="43.25" customHeight="1" thickBot="1" x14ac:dyDescent="0.35">
      <c r="E41" s="448" t="s">
        <v>94</v>
      </c>
      <c r="F41" s="448"/>
      <c r="G41" s="202"/>
      <c r="H41" s="203">
        <f>+AVERAGE(N21:N25)</f>
        <v>0.5</v>
      </c>
      <c r="I41" s="202"/>
      <c r="J41" s="203">
        <f>+AVERAGE(N28:N33)</f>
        <v>1</v>
      </c>
      <c r="K41" s="204"/>
      <c r="L41" s="203">
        <f>+AVERAGE(N21:N33)</f>
        <v>0.66666666666666663</v>
      </c>
    </row>
    <row r="42" spans="2:24" ht="43.25" customHeight="1" x14ac:dyDescent="0.3">
      <c r="E42" s="205"/>
      <c r="F42" s="205"/>
      <c r="G42" s="206"/>
      <c r="H42" s="206"/>
      <c r="I42" s="137"/>
      <c r="J42" s="137"/>
      <c r="K42" s="137"/>
      <c r="L42" s="137"/>
    </row>
    <row r="43" spans="2:24" ht="43.25" customHeight="1" x14ac:dyDescent="0.3">
      <c r="E43" s="194"/>
      <c r="F43" s="194"/>
      <c r="G43" s="207"/>
      <c r="H43" s="208" t="s">
        <v>24</v>
      </c>
      <c r="I43" s="208" t="s">
        <v>199</v>
      </c>
      <c r="J43" s="208" t="s">
        <v>201</v>
      </c>
      <c r="K43" s="208" t="s">
        <v>404</v>
      </c>
      <c r="L43" s="345" t="s">
        <v>484</v>
      </c>
      <c r="M43" s="345" t="s">
        <v>485</v>
      </c>
      <c r="N43" s="208"/>
    </row>
    <row r="44" spans="2:24" ht="14.5" x14ac:dyDescent="0.35">
      <c r="E44" s="445" t="s">
        <v>174</v>
      </c>
      <c r="F44" s="445"/>
      <c r="G44" s="445"/>
      <c r="H44" s="209">
        <f>+U36</f>
        <v>0</v>
      </c>
      <c r="I44" s="298">
        <f>+H44*$J$44*$K$44</f>
        <v>0</v>
      </c>
      <c r="J44" s="298">
        <v>6.6</v>
      </c>
      <c r="K44" s="246">
        <v>3.42</v>
      </c>
      <c r="L44" s="344">
        <v>56.080975609756102</v>
      </c>
      <c r="M44" s="344">
        <f>+L44*K44*H44</f>
        <v>0</v>
      </c>
    </row>
    <row r="45" spans="2:24" ht="14.4" customHeight="1" x14ac:dyDescent="0.35">
      <c r="E45" s="445" t="s">
        <v>224</v>
      </c>
      <c r="F45" s="445"/>
      <c r="G45" s="445"/>
      <c r="H45" s="209"/>
      <c r="I45" s="298">
        <f>+J45*K45</f>
        <v>0</v>
      </c>
      <c r="J45" s="298">
        <f>1892/1000000</f>
        <v>1.892E-3</v>
      </c>
      <c r="K45" s="246">
        <f>+((15*4.4)*2.72)*0</f>
        <v>0</v>
      </c>
      <c r="L45" s="346">
        <v>1.6919982016368774E-2</v>
      </c>
      <c r="M45" s="344">
        <f>+L45*K45</f>
        <v>0</v>
      </c>
    </row>
    <row r="46" spans="2:24" ht="14.4" customHeight="1" x14ac:dyDescent="0.35">
      <c r="E46" s="445" t="s">
        <v>359</v>
      </c>
      <c r="F46" s="445"/>
      <c r="G46" s="445"/>
      <c r="H46" s="209"/>
      <c r="I46" s="298">
        <f>+J46*K46</f>
        <v>0</v>
      </c>
      <c r="J46" s="298">
        <v>0.340368</v>
      </c>
      <c r="K46" s="246">
        <v>0</v>
      </c>
      <c r="L46" s="346">
        <v>2.2358937544867188</v>
      </c>
      <c r="M46" s="344">
        <f>+L46*K46</f>
        <v>0</v>
      </c>
    </row>
    <row r="47" spans="2:24" ht="14.4" customHeight="1" x14ac:dyDescent="0.35">
      <c r="E47" s="445" t="s">
        <v>376</v>
      </c>
      <c r="F47" s="445"/>
      <c r="G47" s="445"/>
      <c r="H47" s="209">
        <v>0</v>
      </c>
      <c r="I47" s="298">
        <f>+H47*$J$47*$K$47</f>
        <v>0</v>
      </c>
      <c r="J47" s="298">
        <f>23683234/1000000</f>
        <v>23.683233999999999</v>
      </c>
      <c r="K47" s="226">
        <v>0</v>
      </c>
      <c r="L47" s="346">
        <v>254.98967741935485</v>
      </c>
      <c r="M47" s="344">
        <f>+L47*K47*H47</f>
        <v>0</v>
      </c>
    </row>
    <row r="48" spans="2:24" ht="14.4" customHeight="1" x14ac:dyDescent="0.35">
      <c r="E48" s="445" t="s">
        <v>236</v>
      </c>
      <c r="F48" s="445"/>
      <c r="G48" s="445"/>
      <c r="H48" s="209"/>
      <c r="I48" s="298">
        <f>+J48*K48</f>
        <v>0</v>
      </c>
      <c r="J48" s="298">
        <f>25508/1000000</f>
        <v>2.5507999999999999E-2</v>
      </c>
      <c r="K48" s="246">
        <f>7/(0.05)*0</f>
        <v>0</v>
      </c>
      <c r="L48" s="347" t="s">
        <v>486</v>
      </c>
      <c r="M48" s="349"/>
    </row>
    <row r="49" spans="2:13" ht="14.4" customHeight="1" x14ac:dyDescent="0.35">
      <c r="E49" s="445" t="s">
        <v>451</v>
      </c>
      <c r="F49" s="445"/>
      <c r="G49" s="445"/>
      <c r="H49" s="209">
        <v>1</v>
      </c>
      <c r="I49" s="298">
        <f>H49*J49</f>
        <v>7.9892054999999997</v>
      </c>
      <c r="J49" s="298">
        <f>15978411/2000000</f>
        <v>7.9892054999999997</v>
      </c>
      <c r="K49" s="246"/>
      <c r="L49" s="347" t="s">
        <v>486</v>
      </c>
      <c r="M49" s="344"/>
    </row>
    <row r="50" spans="2:13" ht="14.4" customHeight="1" x14ac:dyDescent="0.35">
      <c r="E50" s="445" t="s">
        <v>298</v>
      </c>
      <c r="F50" s="445"/>
      <c r="G50" s="445"/>
      <c r="H50" s="209"/>
      <c r="I50" s="210">
        <f>SUM(I44:I49)</f>
        <v>7.9892054999999997</v>
      </c>
      <c r="J50" s="214"/>
      <c r="K50" s="246"/>
      <c r="L50" s="344"/>
      <c r="M50" s="344"/>
    </row>
    <row r="51" spans="2:13" ht="14.4" customHeight="1" x14ac:dyDescent="0.35">
      <c r="E51" s="227"/>
      <c r="F51" s="227"/>
      <c r="G51" s="227"/>
      <c r="H51" s="209"/>
      <c r="I51" s="210"/>
      <c r="J51" s="214"/>
      <c r="K51" s="246"/>
      <c r="L51" s="344"/>
      <c r="M51" s="344"/>
    </row>
    <row r="52" spans="2:13" ht="14.4" customHeight="1" x14ac:dyDescent="0.35">
      <c r="E52" s="445" t="s">
        <v>175</v>
      </c>
      <c r="F52" s="445"/>
      <c r="G52" s="445"/>
      <c r="H52" s="209">
        <f>+U25</f>
        <v>0</v>
      </c>
      <c r="I52" s="210">
        <f>+H52*$J$52*$K$52</f>
        <v>0</v>
      </c>
      <c r="J52" s="211">
        <v>11.8</v>
      </c>
      <c r="K52" s="246">
        <v>4</v>
      </c>
      <c r="L52" s="344">
        <v>118.52055555555555</v>
      </c>
      <c r="M52" s="344">
        <f>+L52*K52*H52</f>
        <v>0</v>
      </c>
    </row>
    <row r="53" spans="2:13" ht="14.4" customHeight="1" x14ac:dyDescent="0.35">
      <c r="E53" s="445" t="s">
        <v>225</v>
      </c>
      <c r="F53" s="445"/>
      <c r="G53" s="445"/>
      <c r="H53" s="209"/>
      <c r="I53" s="210">
        <f>+J53*K53</f>
        <v>0</v>
      </c>
      <c r="J53" s="296">
        <f>+J45*0</f>
        <v>0</v>
      </c>
      <c r="K53" s="215">
        <f>+((15*2.8)*2.72)*0</f>
        <v>0</v>
      </c>
      <c r="L53" s="346">
        <v>1.6919982016368774E-2</v>
      </c>
      <c r="M53" s="344">
        <f>+L53*K53</f>
        <v>0</v>
      </c>
    </row>
    <row r="54" spans="2:13" ht="14.4" customHeight="1" x14ac:dyDescent="0.35">
      <c r="E54" s="445" t="s">
        <v>297</v>
      </c>
      <c r="F54" s="445"/>
      <c r="G54" s="445"/>
      <c r="H54" s="209"/>
      <c r="I54" s="210">
        <f>SUM(I52:I53)</f>
        <v>0</v>
      </c>
      <c r="J54" s="214"/>
      <c r="K54" s="246"/>
      <c r="L54" s="347"/>
      <c r="M54" s="349"/>
    </row>
    <row r="55" spans="2:13" ht="14.4" customHeight="1" x14ac:dyDescent="0.3">
      <c r="E55" s="227"/>
      <c r="F55" s="227"/>
      <c r="G55" s="227"/>
      <c r="H55" s="209"/>
      <c r="I55" s="210"/>
      <c r="J55" s="214"/>
      <c r="K55" s="246"/>
      <c r="L55" s="213"/>
      <c r="M55" s="352">
        <f>SUM(M44:M54)</f>
        <v>0</v>
      </c>
    </row>
    <row r="56" spans="2:13" ht="14.4" customHeight="1" x14ac:dyDescent="0.3">
      <c r="L56" s="213"/>
    </row>
    <row r="57" spans="2:13" ht="7.75" customHeight="1" thickBot="1" x14ac:dyDescent="0.35"/>
    <row r="58" spans="2:13" ht="30" customHeight="1" thickBot="1" x14ac:dyDescent="0.35">
      <c r="B58" s="191"/>
      <c r="C58" s="446" t="s">
        <v>88</v>
      </c>
      <c r="D58" s="446"/>
      <c r="E58" s="192"/>
      <c r="F58" s="192"/>
      <c r="G58" s="192"/>
      <c r="H58" s="192"/>
      <c r="I58" s="216"/>
      <c r="J58" s="193"/>
    </row>
    <row r="59" spans="2:13" ht="38" customHeight="1" x14ac:dyDescent="0.3">
      <c r="C59" s="217" t="s">
        <v>89</v>
      </c>
      <c r="D59" s="195">
        <f>SUMPRODUCT((LEFT(G21:G33, 5)="Jumbo") / (COUNTIF(G21:G33, G21:G33 &amp; "") + (G21:G33="")))</f>
        <v>0</v>
      </c>
      <c r="E59" s="447" t="s">
        <v>90</v>
      </c>
      <c r="F59" s="447"/>
      <c r="G59" s="218">
        <v>0.20833333333333334</v>
      </c>
      <c r="I59" s="139"/>
      <c r="J59" s="190"/>
    </row>
    <row r="60" spans="2:13" ht="38" customHeight="1" x14ac:dyDescent="0.3">
      <c r="E60" s="447" t="s">
        <v>93</v>
      </c>
      <c r="F60" s="447"/>
      <c r="G60" s="195">
        <f>15000/(60)</f>
        <v>250</v>
      </c>
      <c r="H60" s="219" t="s">
        <v>143</v>
      </c>
      <c r="I60" s="139"/>
      <c r="J60" s="190"/>
    </row>
    <row r="61" spans="2:13" ht="38" customHeight="1" x14ac:dyDescent="0.3">
      <c r="E61" s="448" t="s">
        <v>91</v>
      </c>
      <c r="F61" s="448"/>
      <c r="G61" s="207" t="e">
        <f>+SUM(SUMIF($G$21:$G$33, "Jumbo*", $J$21:$J$33))/SUMPRODUCT((LEFT(G21:G33, 5)="Jumbo") / (COUNTIF(G21:G33, G21:G33 &amp; "") + (G21:G33="")))</f>
        <v>#DIV/0!</v>
      </c>
      <c r="H61" s="220" t="e">
        <f>+G61*24/($G$59*24)</f>
        <v>#DIV/0!</v>
      </c>
      <c r="I61" s="190"/>
      <c r="J61" s="190"/>
    </row>
    <row r="62" spans="2:13" ht="38" customHeight="1" x14ac:dyDescent="0.3">
      <c r="E62" s="448" t="s">
        <v>92</v>
      </c>
      <c r="F62" s="448"/>
      <c r="G62" s="221" t="e">
        <f>+SUM(V21:V33)/D59</f>
        <v>#DIV/0!</v>
      </c>
      <c r="H62" s="220" t="e">
        <f>+G62/G60</f>
        <v>#DIV/0!</v>
      </c>
      <c r="I62" s="190"/>
      <c r="J62" s="190"/>
    </row>
    <row r="63" spans="2:13" ht="38" customHeight="1" x14ac:dyDescent="0.3">
      <c r="G63" s="222" t="s">
        <v>87</v>
      </c>
      <c r="H63" s="139" t="s">
        <v>23</v>
      </c>
    </row>
    <row r="64" spans="2:13" ht="20" customHeight="1" x14ac:dyDescent="0.3">
      <c r="F64" s="208" t="s">
        <v>65</v>
      </c>
      <c r="G64" s="221">
        <f t="shared" ref="G64:G69" si="9" xml:space="preserve"> SUMIF($G$21:$G$33, +F64,$V$21:$V$33)</f>
        <v>0</v>
      </c>
      <c r="H64" s="220">
        <f t="shared" ref="H64:H69" si="10">+G64/$G$60</f>
        <v>0</v>
      </c>
    </row>
    <row r="65" spans="2:10" ht="20" customHeight="1" x14ac:dyDescent="0.3">
      <c r="F65" s="208" t="s">
        <v>66</v>
      </c>
      <c r="G65" s="221">
        <f t="shared" si="9"/>
        <v>0</v>
      </c>
      <c r="H65" s="220">
        <f t="shared" si="10"/>
        <v>0</v>
      </c>
    </row>
    <row r="66" spans="2:10" ht="20" customHeight="1" x14ac:dyDescent="0.3">
      <c r="F66" s="208" t="s">
        <v>67</v>
      </c>
      <c r="G66" s="221">
        <f t="shared" si="9"/>
        <v>0</v>
      </c>
      <c r="H66" s="220">
        <f t="shared" si="10"/>
        <v>0</v>
      </c>
    </row>
    <row r="67" spans="2:10" ht="20" customHeight="1" x14ac:dyDescent="0.3">
      <c r="F67" s="208" t="s">
        <v>68</v>
      </c>
      <c r="G67" s="221">
        <f t="shared" si="9"/>
        <v>0</v>
      </c>
      <c r="H67" s="220">
        <f t="shared" si="10"/>
        <v>0</v>
      </c>
    </row>
    <row r="68" spans="2:10" ht="20" customHeight="1" x14ac:dyDescent="0.3">
      <c r="F68" s="208" t="s">
        <v>69</v>
      </c>
      <c r="G68" s="221">
        <f t="shared" si="9"/>
        <v>0</v>
      </c>
      <c r="H68" s="220">
        <f t="shared" si="10"/>
        <v>0</v>
      </c>
    </row>
    <row r="69" spans="2:10" ht="20" customHeight="1" x14ac:dyDescent="0.3">
      <c r="F69" s="208" t="s">
        <v>70</v>
      </c>
      <c r="G69" s="221">
        <f t="shared" si="9"/>
        <v>0</v>
      </c>
      <c r="H69" s="220">
        <f t="shared" si="10"/>
        <v>0</v>
      </c>
    </row>
    <row r="70" spans="2:10" ht="20" customHeight="1" x14ac:dyDescent="0.3">
      <c r="F70" s="208" t="s">
        <v>146</v>
      </c>
      <c r="G70" s="223">
        <f>+SUM(G64:G69)</f>
        <v>0</v>
      </c>
      <c r="H70" s="220" t="e">
        <f>+G70/($G$60*$D$59)</f>
        <v>#DIV/0!</v>
      </c>
    </row>
    <row r="71" spans="2:10" ht="13.5" thickBot="1" x14ac:dyDescent="0.35"/>
    <row r="72" spans="2:10" ht="30" customHeight="1" thickBot="1" x14ac:dyDescent="0.35">
      <c r="B72" s="191"/>
      <c r="C72" s="446" t="s">
        <v>107</v>
      </c>
      <c r="D72" s="446"/>
      <c r="E72" s="192"/>
      <c r="F72" s="192"/>
      <c r="G72" s="192"/>
      <c r="H72" s="192"/>
      <c r="I72" s="216"/>
      <c r="J72" s="193"/>
    </row>
    <row r="73" spans="2:10" ht="38" customHeight="1" x14ac:dyDescent="0.3">
      <c r="C73" s="208" t="s">
        <v>95</v>
      </c>
      <c r="D73" s="195">
        <f>SUMPRODUCT((LEFT(G21:G33, 5)="Scoop") / (COUNTIF(G21:G33, G21:G33 &amp; "") + (G21:G33="")))</f>
        <v>0</v>
      </c>
      <c r="E73" s="447" t="s">
        <v>90</v>
      </c>
      <c r="F73" s="447"/>
      <c r="G73" s="218">
        <v>0.20833333333333334</v>
      </c>
      <c r="I73" s="139"/>
      <c r="J73" s="190"/>
    </row>
    <row r="74" spans="2:10" ht="38" customHeight="1" x14ac:dyDescent="0.3">
      <c r="C74" s="208" t="s">
        <v>145</v>
      </c>
      <c r="D74" s="195">
        <v>4.9000000000000004</v>
      </c>
      <c r="E74" s="447" t="s">
        <v>97</v>
      </c>
      <c r="F74" s="447"/>
      <c r="G74" s="195">
        <f>15000/(60)</f>
        <v>250</v>
      </c>
      <c r="H74" s="219" t="s">
        <v>23</v>
      </c>
      <c r="I74" s="139"/>
      <c r="J74" s="190"/>
    </row>
    <row r="75" spans="2:10" ht="38" customHeight="1" x14ac:dyDescent="0.3">
      <c r="E75" s="448" t="s">
        <v>98</v>
      </c>
      <c r="F75" s="448"/>
      <c r="G75" s="207" t="e">
        <f>+SUM(SUMIF($G$21:$G$33, "Scoop*", $J$21:$J$33))/SUMPRODUCT((LEFT(G21:G33, 5)="Scoop") / (COUNTIF(G21:G33, G21:G33 &amp; "") + (G21:G33="")))</f>
        <v>#DIV/0!</v>
      </c>
      <c r="H75" s="220" t="e">
        <f>+G75*24/($G$73*24)</f>
        <v>#DIV/0!</v>
      </c>
      <c r="I75" s="190"/>
      <c r="J75" s="190"/>
    </row>
    <row r="76" spans="2:10" ht="38" customHeight="1" x14ac:dyDescent="0.3">
      <c r="E76" s="448" t="s">
        <v>99</v>
      </c>
      <c r="F76" s="448"/>
      <c r="G76" s="221" t="e">
        <f>+SUM(W21:W33)*D74/D73</f>
        <v>#DIV/0!</v>
      </c>
      <c r="H76" s="220" t="e">
        <f>+G76/G74</f>
        <v>#DIV/0!</v>
      </c>
      <c r="I76" s="190"/>
      <c r="J76" s="190"/>
    </row>
    <row r="77" spans="2:10" ht="38" customHeight="1" x14ac:dyDescent="0.3">
      <c r="G77" s="222" t="s">
        <v>96</v>
      </c>
      <c r="H77" s="139" t="s">
        <v>23</v>
      </c>
    </row>
    <row r="78" spans="2:10" ht="20" customHeight="1" x14ac:dyDescent="0.3">
      <c r="F78" s="208" t="s">
        <v>71</v>
      </c>
      <c r="G78" s="221">
        <f t="shared" ref="G78:G83" si="11" xml:space="preserve"> SUMIF($G$21:$G$33, +F78,$W$21:$W$33)*$D$74</f>
        <v>0</v>
      </c>
      <c r="H78" s="220">
        <f>+G78/$G$74</f>
        <v>0</v>
      </c>
    </row>
    <row r="79" spans="2:10" ht="20" customHeight="1" x14ac:dyDescent="0.3">
      <c r="F79" s="208" t="s">
        <v>72</v>
      </c>
      <c r="G79" s="221">
        <f t="shared" si="11"/>
        <v>0</v>
      </c>
      <c r="H79" s="220">
        <f t="shared" ref="H79:H84" si="12">+G79/$G$74</f>
        <v>0</v>
      </c>
    </row>
    <row r="80" spans="2:10" ht="20" customHeight="1" x14ac:dyDescent="0.3">
      <c r="F80" s="208" t="s">
        <v>73</v>
      </c>
      <c r="G80" s="221">
        <f t="shared" si="11"/>
        <v>0</v>
      </c>
      <c r="H80" s="220">
        <f t="shared" si="12"/>
        <v>0</v>
      </c>
    </row>
    <row r="81" spans="2:10" ht="20" customHeight="1" x14ac:dyDescent="0.3">
      <c r="F81" s="208" t="s">
        <v>74</v>
      </c>
      <c r="G81" s="221">
        <f t="shared" si="11"/>
        <v>0</v>
      </c>
      <c r="H81" s="220">
        <f t="shared" si="12"/>
        <v>0</v>
      </c>
    </row>
    <row r="82" spans="2:10" ht="20" customHeight="1" x14ac:dyDescent="0.3">
      <c r="F82" s="208" t="s">
        <v>75</v>
      </c>
      <c r="G82" s="221">
        <f t="shared" si="11"/>
        <v>0</v>
      </c>
      <c r="H82" s="220">
        <f t="shared" si="12"/>
        <v>0</v>
      </c>
    </row>
    <row r="83" spans="2:10" ht="20" customHeight="1" x14ac:dyDescent="0.3">
      <c r="F83" s="208" t="s">
        <v>76</v>
      </c>
      <c r="G83" s="221">
        <f t="shared" si="11"/>
        <v>0</v>
      </c>
      <c r="H83" s="220">
        <f t="shared" si="12"/>
        <v>0</v>
      </c>
    </row>
    <row r="84" spans="2:10" ht="20" customHeight="1" x14ac:dyDescent="0.3">
      <c r="F84" s="208" t="s">
        <v>146</v>
      </c>
      <c r="G84" s="223">
        <f>+SUM(G78:G83)</f>
        <v>0</v>
      </c>
      <c r="H84" s="220">
        <f t="shared" si="12"/>
        <v>0</v>
      </c>
    </row>
    <row r="85" spans="2:10" ht="13.5" thickBot="1" x14ac:dyDescent="0.35"/>
    <row r="86" spans="2:10" ht="30" customHeight="1" thickBot="1" x14ac:dyDescent="0.35">
      <c r="B86" s="191"/>
      <c r="C86" s="446" t="s">
        <v>149</v>
      </c>
      <c r="D86" s="446"/>
      <c r="E86" s="192"/>
      <c r="F86" s="192"/>
      <c r="G86" s="192"/>
      <c r="H86" s="192"/>
      <c r="I86" s="216"/>
      <c r="J86" s="193"/>
    </row>
    <row r="87" spans="2:10" ht="25.25" customHeight="1" x14ac:dyDescent="0.3">
      <c r="C87" s="208" t="s">
        <v>150</v>
      </c>
      <c r="D87" s="195">
        <f>SUMPRODUCT((LEFT(G21:G33, 8)="Roboshot") / (COUNTIF(G21:G33, G21:G33 &amp; "") + (G21:G33="")))</f>
        <v>0</v>
      </c>
      <c r="E87" s="447" t="s">
        <v>90</v>
      </c>
      <c r="F87" s="447"/>
      <c r="G87" s="218">
        <v>0.20833333333333334</v>
      </c>
    </row>
    <row r="88" spans="2:10" x14ac:dyDescent="0.3">
      <c r="C88" s="208"/>
      <c r="D88" s="195"/>
      <c r="E88" s="447" t="s">
        <v>97</v>
      </c>
      <c r="F88" s="447"/>
      <c r="G88" s="195">
        <v>12</v>
      </c>
      <c r="H88" s="219" t="s">
        <v>23</v>
      </c>
    </row>
    <row r="90" spans="2:10" x14ac:dyDescent="0.3">
      <c r="G90" s="222" t="s">
        <v>96</v>
      </c>
      <c r="H90" s="139" t="s">
        <v>23</v>
      </c>
    </row>
    <row r="91" spans="2:10" x14ac:dyDescent="0.3">
      <c r="F91" s="208" t="s">
        <v>77</v>
      </c>
      <c r="G91" s="221">
        <f xml:space="preserve"> SUMIF($G$21:$G$33, +F91,$X$21:$X$33)</f>
        <v>0</v>
      </c>
      <c r="H91" s="220">
        <f>+G91/$G$88</f>
        <v>0</v>
      </c>
    </row>
    <row r="92" spans="2:10" x14ac:dyDescent="0.3">
      <c r="F92" s="208" t="s">
        <v>78</v>
      </c>
      <c r="G92" s="221">
        <f xml:space="preserve"> SUMIF($G$21:$G$33, +F92,$X$21:$X$33)</f>
        <v>0</v>
      </c>
      <c r="H92" s="220">
        <f t="shared" ref="H92:H93" si="13">+G92/$G$88</f>
        <v>0</v>
      </c>
    </row>
    <row r="93" spans="2:10" x14ac:dyDescent="0.3">
      <c r="F93" s="208" t="s">
        <v>79</v>
      </c>
      <c r="G93" s="221">
        <f xml:space="preserve"> SUMIF($G$21:$G$33, +F93,$X$21:$X$33)</f>
        <v>0</v>
      </c>
      <c r="H93" s="220">
        <f t="shared" si="13"/>
        <v>0</v>
      </c>
    </row>
    <row r="94" spans="2:10" x14ac:dyDescent="0.3">
      <c r="F94" s="208" t="s">
        <v>146</v>
      </c>
      <c r="G94" s="223">
        <f>+SUM(G91:G93)</f>
        <v>0</v>
      </c>
      <c r="H94" s="220">
        <f>+G94/$G$88</f>
        <v>0</v>
      </c>
    </row>
  </sheetData>
  <mergeCells count="41">
    <mergeCell ref="E45:G45"/>
    <mergeCell ref="K8:L8"/>
    <mergeCell ref="B1:D4"/>
    <mergeCell ref="E2:R2"/>
    <mergeCell ref="E3:R4"/>
    <mergeCell ref="K6:L6"/>
    <mergeCell ref="K7:L7"/>
    <mergeCell ref="E53:G53"/>
    <mergeCell ref="E54:G54"/>
    <mergeCell ref="E46:G46"/>
    <mergeCell ref="K9:L9"/>
    <mergeCell ref="K10:L10"/>
    <mergeCell ref="K11:L11"/>
    <mergeCell ref="K12:L12"/>
    <mergeCell ref="B14:S14"/>
    <mergeCell ref="C38:D38"/>
    <mergeCell ref="G38:H38"/>
    <mergeCell ref="I38:J38"/>
    <mergeCell ref="K38:L38"/>
    <mergeCell ref="E39:F39"/>
    <mergeCell ref="E40:F40"/>
    <mergeCell ref="E41:F41"/>
    <mergeCell ref="E44:G44"/>
    <mergeCell ref="E47:G47"/>
    <mergeCell ref="E48:G48"/>
    <mergeCell ref="E49:G49"/>
    <mergeCell ref="E50:G50"/>
    <mergeCell ref="E52:G52"/>
    <mergeCell ref="C58:D58"/>
    <mergeCell ref="E59:F59"/>
    <mergeCell ref="E60:F60"/>
    <mergeCell ref="E61:F61"/>
    <mergeCell ref="E87:F87"/>
    <mergeCell ref="E62:F62"/>
    <mergeCell ref="E88:F88"/>
    <mergeCell ref="C72:D72"/>
    <mergeCell ref="E73:F73"/>
    <mergeCell ref="E74:F74"/>
    <mergeCell ref="E75:F75"/>
    <mergeCell ref="E76:F76"/>
    <mergeCell ref="C86:D86"/>
  </mergeCells>
  <conditionalFormatting sqref="H40:H41 J40:J41">
    <cfRule type="cellIs" dxfId="230" priority="13" operator="greaterThan">
      <formula>0.9</formula>
    </cfRule>
    <cfRule type="cellIs" dxfId="229" priority="14" operator="between">
      <formula>0.81</formula>
      <formula>0.89</formula>
    </cfRule>
    <cfRule type="cellIs" dxfId="228" priority="15" operator="lessThan">
      <formula>0.8</formula>
    </cfRule>
  </conditionalFormatting>
  <conditionalFormatting sqref="H61:H62">
    <cfRule type="cellIs" dxfId="227" priority="16" operator="greaterThan">
      <formula>0.9</formula>
    </cfRule>
    <cfRule type="cellIs" dxfId="226" priority="17" operator="between">
      <formula>0.81</formula>
      <formula>0.89</formula>
    </cfRule>
    <cfRule type="cellIs" dxfId="225" priority="18" operator="lessThan">
      <formula>0.8</formula>
    </cfRule>
  </conditionalFormatting>
  <conditionalFormatting sqref="H64:H70">
    <cfRule type="cellIs" dxfId="224" priority="19" operator="greaterThan">
      <formula>0.9</formula>
    </cfRule>
    <cfRule type="cellIs" dxfId="223" priority="20" operator="between">
      <formula>0.81</formula>
      <formula>0.89</formula>
    </cfRule>
    <cfRule type="cellIs" dxfId="222" priority="21" operator="lessThan">
      <formula>0.8</formula>
    </cfRule>
  </conditionalFormatting>
  <conditionalFormatting sqref="H75:H76">
    <cfRule type="cellIs" dxfId="221" priority="7" operator="greaterThan">
      <formula>0.9</formula>
    </cfRule>
    <cfRule type="cellIs" dxfId="220" priority="8" operator="between">
      <formula>0.81</formula>
      <formula>0.89</formula>
    </cfRule>
    <cfRule type="cellIs" dxfId="219" priority="9" operator="lessThan">
      <formula>0.8</formula>
    </cfRule>
  </conditionalFormatting>
  <conditionalFormatting sqref="H78:H84">
    <cfRule type="cellIs" dxfId="218" priority="10" operator="greaterThan">
      <formula>0.9</formula>
    </cfRule>
    <cfRule type="cellIs" dxfId="217" priority="11" operator="between">
      <formula>0.81</formula>
      <formula>0.89</formula>
    </cfRule>
    <cfRule type="cellIs" dxfId="216" priority="12" operator="lessThan">
      <formula>0.8</formula>
    </cfRule>
  </conditionalFormatting>
  <conditionalFormatting sqref="H91:H94">
    <cfRule type="cellIs" dxfId="215" priority="4" operator="greaterThan">
      <formula>0.9</formula>
    </cfRule>
    <cfRule type="cellIs" dxfId="214" priority="5" operator="between">
      <formula>0.81</formula>
      <formula>0.89</formula>
    </cfRule>
    <cfRule type="cellIs" dxfId="213" priority="6" operator="lessThan">
      <formula>0.8</formula>
    </cfRule>
  </conditionalFormatting>
  <conditionalFormatting sqref="L40:L41">
    <cfRule type="cellIs" dxfId="212" priority="1" operator="greaterThan">
      <formula>0.9</formula>
    </cfRule>
    <cfRule type="cellIs" dxfId="211" priority="2" operator="between">
      <formula>0.81</formula>
      <formula>0.89</formula>
    </cfRule>
    <cfRule type="cellIs" dxfId="210" priority="3" operator="lessThan">
      <formula>0.8</formula>
    </cfRule>
  </conditionalFormatting>
  <pageMargins left="0.25" right="0.25" top="0.75" bottom="0.75" header="0.3" footer="0.3"/>
  <pageSetup scale="3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7488A41-2172-4C88-949E-971088F5E090}">
          <x14:formula1>
            <xm:f>Datos!$F$3:$F$41</xm:f>
          </x14:formula1>
          <xm:sqref>G28:G36 G21:G25</xm:sqref>
        </x14:dataValidation>
        <x14:dataValidation type="list" allowBlank="1" showInputMessage="1" showErrorMessage="1" xr:uid="{1AE0CC4D-E3DD-4581-A824-06EB4BDBA8F8}">
          <x14:formula1>
            <xm:f>Datos!$W$3:$W$12</xm:f>
          </x14:formula1>
          <xm:sqref>L28:L36 L21:L25</xm:sqref>
        </x14:dataValidation>
        <x14:dataValidation type="list" allowBlank="1" showInputMessage="1" showErrorMessage="1" xr:uid="{A5DCF031-0FBA-4A83-AB30-C7C495D23D76}">
          <x14:formula1>
            <xm:f>Datos!$D$3:$D$27</xm:f>
          </x14:formula1>
          <xm:sqref>F28:F36 F21:F25</xm:sqref>
        </x14:dataValidation>
        <x14:dataValidation type="list" allowBlank="1" showInputMessage="1" showErrorMessage="1" xr:uid="{CD4B9ECF-972E-4CA8-A30C-2BA8014A7333}">
          <x14:formula1>
            <xm:f>Datos!$B$3:$B$8</xm:f>
          </x14:formula1>
          <xm:sqref>E28:E36 E21:E25</xm:sqref>
        </x14:dataValidation>
        <x14:dataValidation type="list" allowBlank="1" showInputMessage="1" showErrorMessage="1" xr:uid="{34443AE8-45EF-4643-A4D7-F6EB7CD80FBD}">
          <x14:formula1>
            <xm:f>Datos!$H$3:$H$34</xm:f>
          </x14:formula1>
          <xm:sqref>D28:D35 D21:D24</xm:sqref>
        </x14:dataValidation>
        <x14:dataValidation type="list" allowBlank="1" showInputMessage="1" showErrorMessage="1" xr:uid="{60CB0ABA-9D00-4B14-8F35-AABA58429D74}">
          <x14:formula1>
            <xm:f>Datos!$H$3:$H$26</xm:f>
          </x14:formula1>
          <xm:sqref>D25 D36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7166-3B57-49C4-88D5-1FADFB5E3F61}">
  <sheetPr>
    <pageSetUpPr fitToPage="1"/>
  </sheetPr>
  <dimension ref="B1:X96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J36" sqref="J36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0.46875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0.33333333333333331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+G72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+G86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+G96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172</v>
      </c>
      <c r="E21" s="172" t="s">
        <v>6</v>
      </c>
      <c r="F21" s="172" t="s">
        <v>163</v>
      </c>
      <c r="G21" s="172"/>
      <c r="H21" s="174">
        <v>0.35416666666666669</v>
      </c>
      <c r="I21" s="174">
        <v>0.3923611111111111</v>
      </c>
      <c r="J21" s="175">
        <f>I21-H21</f>
        <v>3.819444444444442E-2</v>
      </c>
      <c r="K21" s="178"/>
      <c r="L21" s="177"/>
      <c r="M21" s="178"/>
      <c r="N21" s="179">
        <v>1</v>
      </c>
      <c r="O21" s="186" t="s">
        <v>501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52.75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51</v>
      </c>
      <c r="E22" s="172" t="s">
        <v>6</v>
      </c>
      <c r="F22" s="172" t="s">
        <v>163</v>
      </c>
      <c r="G22" s="172" t="s">
        <v>211</v>
      </c>
      <c r="H22" s="174">
        <v>0.39583333333333331</v>
      </c>
      <c r="I22" s="174">
        <v>0.5</v>
      </c>
      <c r="J22" s="175">
        <f>I22-H22</f>
        <v>0.10416666666666669</v>
      </c>
      <c r="K22" s="178"/>
      <c r="L22" s="177"/>
      <c r="M22" s="178"/>
      <c r="N22" s="179">
        <v>0</v>
      </c>
      <c r="O22" s="186" t="s">
        <v>502</v>
      </c>
      <c r="P22" s="181"/>
      <c r="Q22" s="174"/>
      <c r="R22" s="172"/>
      <c r="S22" s="175">
        <f t="shared" ref="S22:S27" si="0">+MOD(R22-Q22,1)</f>
        <v>0</v>
      </c>
      <c r="U22" s="182">
        <f>+IFERROR(VLOOKUP(D22,Datos!$R$3:$T$19,3,FALSE), "0")*N22</f>
        <v>0</v>
      </c>
      <c r="V22" s="183" t="str">
        <f t="shared" ref="V22:V27" si="1">IF(OR(D22="Perforación de Fortificación", D22="Perforación de Avance", D22="Perforación Desquinche"), K22*M22, "")</f>
        <v/>
      </c>
      <c r="W22" s="183" t="str">
        <f t="shared" ref="W22:W27" si="2">IF(D22="Extracción de Marina Disparo",K22,"")</f>
        <v/>
      </c>
      <c r="X22" s="183" t="str">
        <f t="shared" ref="X22:X27" si="3">IF(OR(D22="Shotcrete", D22="Pre Shotcrete"), K22, "")</f>
        <v/>
      </c>
    </row>
    <row r="23" spans="2:24" ht="42.65" customHeight="1" x14ac:dyDescent="0.3">
      <c r="B23" s="172">
        <v>3500</v>
      </c>
      <c r="C23" s="173" t="s">
        <v>496</v>
      </c>
      <c r="D23" s="173" t="s">
        <v>114</v>
      </c>
      <c r="E23" s="172" t="s">
        <v>6</v>
      </c>
      <c r="F23" s="172" t="s">
        <v>163</v>
      </c>
      <c r="G23" s="172" t="s">
        <v>211</v>
      </c>
      <c r="H23" s="174">
        <v>0.41666666666666669</v>
      </c>
      <c r="I23" s="174">
        <v>0.74305555555555558</v>
      </c>
      <c r="J23" s="175">
        <f>I23-H23</f>
        <v>0.3263888888888889</v>
      </c>
      <c r="K23" s="178"/>
      <c r="L23" s="177"/>
      <c r="M23" s="178"/>
      <c r="N23" s="179">
        <v>0</v>
      </c>
      <c r="O23" s="186" t="s">
        <v>503</v>
      </c>
      <c r="P23" s="181"/>
      <c r="Q23" s="174"/>
      <c r="R23" s="172"/>
      <c r="S23" s="175">
        <f t="shared" si="0"/>
        <v>0</v>
      </c>
      <c r="U23" s="182">
        <f>+IFERROR(VLOOKUP(D23,Datos!$R$3:$T$19,3,FALSE), "0")*N23</f>
        <v>0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38" customHeight="1" x14ac:dyDescent="0.3">
      <c r="B24" s="172"/>
      <c r="C24" s="173" t="s">
        <v>504</v>
      </c>
      <c r="D24" s="173"/>
      <c r="E24" s="172"/>
      <c r="F24" s="172"/>
      <c r="G24" s="172"/>
      <c r="H24" s="174"/>
      <c r="I24" s="174"/>
      <c r="J24" s="175"/>
      <c r="K24" s="178"/>
      <c r="L24" s="177"/>
      <c r="M24" s="178"/>
      <c r="N24" s="179"/>
      <c r="O24" s="186"/>
      <c r="P24" s="181"/>
      <c r="Q24" s="174"/>
      <c r="R24" s="174"/>
      <c r="S24" s="175"/>
      <c r="U24" s="182">
        <f>+IFERROR(VLOOKUP(D24,Datos!$R$3:$T$19,3,FALSE), "0")*N24</f>
        <v>0</v>
      </c>
      <c r="V24" s="183"/>
      <c r="W24" s="183"/>
      <c r="X24" s="183"/>
    </row>
    <row r="25" spans="2:24" ht="38" customHeight="1" x14ac:dyDescent="0.3">
      <c r="B25" s="172"/>
      <c r="C25" s="173" t="s">
        <v>505</v>
      </c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186"/>
      <c r="P25" s="181"/>
      <c r="Q25" s="174"/>
      <c r="R25" s="174"/>
      <c r="S25" s="175"/>
      <c r="U25" s="182">
        <f>+IFERROR(VLOOKUP(D25,Datos!$R$3:$T$19,3,FALSE), "0")*N25</f>
        <v>0</v>
      </c>
      <c r="V25" s="183"/>
      <c r="W25" s="183"/>
      <c r="X25" s="183"/>
    </row>
    <row r="26" spans="2:24" ht="37.75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/>
      <c r="K26" s="178"/>
      <c r="L26" s="177"/>
      <c r="M26" s="178"/>
      <c r="N26" s="179"/>
      <c r="O26" s="186"/>
      <c r="P26" s="181"/>
      <c r="Q26" s="174"/>
      <c r="R26" s="174"/>
      <c r="S26" s="175"/>
      <c r="U26" s="182"/>
      <c r="V26" s="183" t="str">
        <f t="shared" si="1"/>
        <v/>
      </c>
      <c r="W26" s="183" t="str">
        <f t="shared" si="2"/>
        <v/>
      </c>
      <c r="X26" s="183" t="str">
        <f t="shared" si="3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MOD(I23-H21, 1)</f>
        <v>0.3888888888888889</v>
      </c>
      <c r="K27" s="178"/>
      <c r="L27" s="177"/>
      <c r="M27" s="178"/>
      <c r="N27" s="179"/>
      <c r="O27" s="186" t="s">
        <v>436</v>
      </c>
      <c r="P27" s="172"/>
      <c r="Q27" s="172"/>
      <c r="R27" s="172"/>
      <c r="S27" s="175">
        <f t="shared" si="0"/>
        <v>0</v>
      </c>
      <c r="U27" s="182">
        <f>SUM(U21:U26)</f>
        <v>0</v>
      </c>
      <c r="V27" s="183" t="str">
        <f t="shared" si="1"/>
        <v/>
      </c>
      <c r="W27" s="183" t="str">
        <f t="shared" si="2"/>
        <v/>
      </c>
      <c r="X27" s="183" t="str">
        <f t="shared" si="3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 t="s">
        <v>110</v>
      </c>
      <c r="E30" s="172" t="s">
        <v>6</v>
      </c>
      <c r="F30" s="172" t="s">
        <v>164</v>
      </c>
      <c r="G30" s="172"/>
      <c r="H30" s="174">
        <v>0.33333333333333331</v>
      </c>
      <c r="I30" s="174">
        <v>0.83333333333333337</v>
      </c>
      <c r="J30" s="175">
        <f>I30-H30</f>
        <v>0.5</v>
      </c>
      <c r="K30" s="178"/>
      <c r="L30" s="177"/>
      <c r="M30" s="178"/>
      <c r="N30" s="179">
        <v>1</v>
      </c>
      <c r="O30" s="186" t="s">
        <v>428</v>
      </c>
      <c r="P30" s="225"/>
      <c r="Q30" s="174"/>
      <c r="R30" s="174"/>
      <c r="S30" s="175"/>
      <c r="U30" s="187">
        <f>+IFERROR(VLOOKUP(D30,Datos!$R$24:$T$40,3,FALSE), "0")*N30</f>
        <v>0</v>
      </c>
      <c r="V30" s="183" t="str">
        <f t="shared" ref="V30:V38" si="4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8" si="5">IF(OR(D30="Shotcrete", D30="Pre Shotcrete"), K30, "")</f>
        <v/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73"/>
      <c r="Q31" s="174"/>
      <c r="R31" s="174"/>
      <c r="S31" s="175"/>
      <c r="U31" s="187">
        <f>+IFERROR(VLOOKUP(D31,Datos!$R$24:$T$40,3,FALSE), "0")*N31</f>
        <v>0</v>
      </c>
      <c r="V31" s="183" t="str">
        <f t="shared" si="4"/>
        <v/>
      </c>
      <c r="W31" s="183" t="str">
        <f>IF(D31="Extracción de Marina Disparo",K31,"")</f>
        <v/>
      </c>
      <c r="X31" s="183" t="str">
        <f t="shared" si="5"/>
        <v/>
      </c>
    </row>
    <row r="32" spans="2:24" ht="53.4" customHeight="1" x14ac:dyDescent="0.3">
      <c r="B32" s="172">
        <v>3700</v>
      </c>
      <c r="C32" s="173" t="str">
        <f>+C30</f>
        <v>Ciclo Minero 5,2 x 5,6 m
Galería Acceso Portal de Servicio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225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4"/>
        <v/>
      </c>
      <c r="W32" s="183" t="str">
        <f t="shared" ref="W32:W38" si="6">IF(D32="Extracción de Marina Disparo",K32,"")</f>
        <v/>
      </c>
      <c r="X32" s="183" t="str">
        <f t="shared" si="5"/>
        <v/>
      </c>
    </row>
    <row r="33" spans="2:24" ht="38" customHeight="1" x14ac:dyDescent="0.3">
      <c r="B33" s="172">
        <v>3700</v>
      </c>
      <c r="C33" s="173" t="s">
        <v>397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72"/>
      <c r="Q33" s="172"/>
      <c r="R33" s="172"/>
      <c r="S33" s="175"/>
      <c r="U33" s="187">
        <f>+IFERROR(VLOOKUP(D33,Datos!$R$24:$T$40,3,FALSE), "0")*N33</f>
        <v>0</v>
      </c>
      <c r="V33" s="183" t="str">
        <f t="shared" si="4"/>
        <v/>
      </c>
      <c r="W33" s="183" t="str">
        <f t="shared" si="6"/>
        <v/>
      </c>
      <c r="X33" s="183"/>
    </row>
    <row r="34" spans="2:24" ht="38" customHeight="1" x14ac:dyDescent="0.3">
      <c r="B34" s="172">
        <v>3700</v>
      </c>
      <c r="C34" s="173" t="str">
        <f>+C33</f>
        <v>Fróntón Bodega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6"/>
      <c r="P34" s="181"/>
      <c r="Q34" s="174"/>
      <c r="R34" s="174"/>
      <c r="S34" s="175"/>
      <c r="U34" s="187">
        <f>+IFERROR(VLOOKUP(D34,Datos!$R$24:$T$40,3,FALSE), "0")*N34</f>
        <v>0</v>
      </c>
      <c r="V34" s="183" t="str">
        <f t="shared" si="4"/>
        <v/>
      </c>
      <c r="W34" s="183" t="str">
        <f t="shared" si="6"/>
        <v/>
      </c>
      <c r="X34" s="183" t="str">
        <f t="shared" si="5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225"/>
      <c r="P35" s="172"/>
      <c r="Q35" s="172"/>
      <c r="R35" s="172"/>
      <c r="S35" s="175">
        <f t="shared" ref="S35:S38" si="7">+MOD(R35-Q35,1)</f>
        <v>0</v>
      </c>
      <c r="U35" s="187">
        <f>+IFERROR(VLOOKUP(D35,Datos!$R$24:$T$40,3,FALSE), "0")*N35</f>
        <v>0</v>
      </c>
      <c r="V35" s="183" t="str">
        <f t="shared" si="4"/>
        <v/>
      </c>
      <c r="W35" s="183" t="str">
        <f t="shared" si="6"/>
        <v/>
      </c>
      <c r="X35" s="183" t="str">
        <f t="shared" si="5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7"/>
        <v>0</v>
      </c>
      <c r="U36" s="187"/>
      <c r="V36" s="183" t="str">
        <f t="shared" si="4"/>
        <v/>
      </c>
      <c r="W36" s="183" t="str">
        <f t="shared" si="6"/>
        <v/>
      </c>
      <c r="X36" s="183" t="str">
        <f t="shared" si="5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7"/>
        <v>0</v>
      </c>
      <c r="U37" s="187"/>
      <c r="V37" s="183" t="str">
        <f t="shared" si="4"/>
        <v/>
      </c>
      <c r="W37" s="183" t="str">
        <f t="shared" si="6"/>
        <v/>
      </c>
      <c r="X37" s="183" t="str">
        <f t="shared" si="5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 t="s">
        <v>329</v>
      </c>
      <c r="J38" s="175">
        <v>0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7"/>
        <v>0</v>
      </c>
      <c r="U38" s="182">
        <f>SUM(U30:U37)</f>
        <v>0</v>
      </c>
      <c r="V38" s="183" t="str">
        <f t="shared" si="4"/>
        <v/>
      </c>
      <c r="W38" s="183" t="str">
        <f t="shared" si="6"/>
        <v/>
      </c>
      <c r="X38" s="183" t="str">
        <f t="shared" si="5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SUMPRODUCT((LEFT(F21:F35, 1)="C") / (COUNTIF(F21:F35, F21:F35 &amp; "") + (F21:F35="")))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SUMPRODUCT((LEFT(F21:F35, 1)="O") / (COUNTIF(F21:F35, F21:F35 &amp; "") + (F21:F35="")))</f>
        <v>0</v>
      </c>
      <c r="E42" s="448" t="s">
        <v>198</v>
      </c>
      <c r="F42" s="448"/>
      <c r="G42" s="199">
        <f>SUM(J21:J26)</f>
        <v>0.46875</v>
      </c>
      <c r="H42" s="200">
        <f>+G42*24/($G$41*24)</f>
        <v>1.8</v>
      </c>
      <c r="I42" s="199">
        <f>SUM(J30:J35)</f>
        <v>0.5</v>
      </c>
      <c r="J42" s="200">
        <f>+I42*24/($I$41*24)</f>
        <v>1.92</v>
      </c>
      <c r="K42" s="201">
        <f>AVERAGE(G42+I42)/2</f>
        <v>0.484375</v>
      </c>
      <c r="L42" s="200">
        <f>+K42*24/($K$41*24)</f>
        <v>1.86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+AVERAGE(N21:N27)</f>
        <v>0.33333333333333331</v>
      </c>
      <c r="I43" s="202"/>
      <c r="J43" s="203">
        <f>+AVERAGE(N30:N35)</f>
        <v>1</v>
      </c>
      <c r="K43" s="204"/>
      <c r="L43" s="203">
        <f>+AVERAGE(N21:N35)</f>
        <v>0.5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404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+U38</f>
        <v>0</v>
      </c>
      <c r="I46" s="298">
        <f>+H46*$J$46*$K$46</f>
        <v>0</v>
      </c>
      <c r="J46" s="298">
        <v>6.6</v>
      </c>
      <c r="K46" s="246">
        <v>3.42</v>
      </c>
      <c r="L46" s="344">
        <v>56.080975609756102</v>
      </c>
      <c r="M46" s="344">
        <f>+L46*K46*H46</f>
        <v>0</v>
      </c>
    </row>
    <row r="47" spans="2:24" ht="14.4" customHeight="1" x14ac:dyDescent="0.35">
      <c r="E47" s="445" t="s">
        <v>224</v>
      </c>
      <c r="F47" s="445"/>
      <c r="G47" s="445"/>
      <c r="H47" s="209"/>
      <c r="I47" s="298">
        <f>+J47*K47</f>
        <v>0</v>
      </c>
      <c r="J47" s="298">
        <f>1892/1000000</f>
        <v>1.892E-3</v>
      </c>
      <c r="K47" s="246">
        <f>+((15*4.4)*2.72)*0</f>
        <v>0</v>
      </c>
      <c r="L47" s="346">
        <v>1.6919982016368774E-2</v>
      </c>
      <c r="M47" s="344">
        <f>+L47*K47</f>
        <v>0</v>
      </c>
    </row>
    <row r="48" spans="2:24" ht="14.4" customHeight="1" x14ac:dyDescent="0.35">
      <c r="E48" s="445" t="s">
        <v>359</v>
      </c>
      <c r="F48" s="445"/>
      <c r="G48" s="445"/>
      <c r="H48" s="209"/>
      <c r="I48" s="298">
        <f>+J48*K48</f>
        <v>0</v>
      </c>
      <c r="J48" s="298">
        <v>0.340368</v>
      </c>
      <c r="K48" s="246">
        <v>0</v>
      </c>
      <c r="L48" s="346">
        <v>2.2358937544867188</v>
      </c>
      <c r="M48" s="344">
        <f>+L48*K48</f>
        <v>0</v>
      </c>
    </row>
    <row r="49" spans="2:13" ht="14.4" customHeight="1" x14ac:dyDescent="0.35">
      <c r="E49" s="445" t="s">
        <v>376</v>
      </c>
      <c r="F49" s="445"/>
      <c r="G49" s="445"/>
      <c r="H49" s="209">
        <v>0</v>
      </c>
      <c r="I49" s="298">
        <f>+H49*$J$49*$K$49</f>
        <v>0</v>
      </c>
      <c r="J49" s="298">
        <f>23683234/1000000</f>
        <v>23.683233999999999</v>
      </c>
      <c r="K49" s="226">
        <v>0</v>
      </c>
      <c r="L49" s="346">
        <v>254.98967741935485</v>
      </c>
      <c r="M49" s="344">
        <f>+L49*K49*H49</f>
        <v>0</v>
      </c>
    </row>
    <row r="50" spans="2:13" ht="14.4" customHeight="1" x14ac:dyDescent="0.35">
      <c r="E50" s="445" t="s">
        <v>236</v>
      </c>
      <c r="F50" s="445"/>
      <c r="G50" s="445"/>
      <c r="H50" s="209"/>
      <c r="I50" s="298">
        <f>+J50*K50</f>
        <v>0</v>
      </c>
      <c r="J50" s="298">
        <f>25508/1000000</f>
        <v>2.5507999999999999E-2</v>
      </c>
      <c r="K50" s="246">
        <f>7/(0.05)*0</f>
        <v>0</v>
      </c>
      <c r="L50" s="347" t="s">
        <v>486</v>
      </c>
      <c r="M50" s="349"/>
    </row>
    <row r="51" spans="2:13" ht="14.4" customHeight="1" x14ac:dyDescent="0.35">
      <c r="E51" s="445" t="s">
        <v>451</v>
      </c>
      <c r="F51" s="445"/>
      <c r="G51" s="445"/>
      <c r="H51" s="209">
        <v>1</v>
      </c>
      <c r="I51" s="298">
        <f>H51*J51</f>
        <v>7.9892054999999997</v>
      </c>
      <c r="J51" s="298">
        <f>15978411/2000000</f>
        <v>7.9892054999999997</v>
      </c>
      <c r="K51" s="246"/>
      <c r="L51" s="347" t="s">
        <v>486</v>
      </c>
      <c r="M51" s="344"/>
    </row>
    <row r="52" spans="2:13" ht="14.4" customHeight="1" x14ac:dyDescent="0.35">
      <c r="E52" s="445" t="s">
        <v>298</v>
      </c>
      <c r="F52" s="445"/>
      <c r="G52" s="445"/>
      <c r="H52" s="209"/>
      <c r="I52" s="210">
        <f>SUM(I46:I51)</f>
        <v>7.9892054999999997</v>
      </c>
      <c r="J52" s="214"/>
      <c r="K52" s="246"/>
      <c r="L52" s="344"/>
      <c r="M52" s="344"/>
    </row>
    <row r="53" spans="2:13" ht="14.4" customHeight="1" x14ac:dyDescent="0.35">
      <c r="E53" s="227"/>
      <c r="F53" s="227"/>
      <c r="G53" s="227"/>
      <c r="H53" s="209"/>
      <c r="I53" s="210"/>
      <c r="J53" s="214"/>
      <c r="K53" s="246"/>
      <c r="L53" s="344"/>
      <c r="M53" s="344"/>
    </row>
    <row r="54" spans="2:13" ht="14.4" customHeight="1" x14ac:dyDescent="0.35">
      <c r="E54" s="445" t="s">
        <v>175</v>
      </c>
      <c r="F54" s="445"/>
      <c r="G54" s="445"/>
      <c r="H54" s="209">
        <f>+U27</f>
        <v>0</v>
      </c>
      <c r="I54" s="210">
        <f>+H54*$J$54*$K$54</f>
        <v>0</v>
      </c>
      <c r="J54" s="211">
        <v>11.8</v>
      </c>
      <c r="K54" s="246">
        <v>4</v>
      </c>
      <c r="L54" s="344">
        <v>118.52055555555555</v>
      </c>
      <c r="M54" s="344">
        <f>+L54*K54*H54</f>
        <v>0</v>
      </c>
    </row>
    <row r="55" spans="2:13" ht="14.4" customHeight="1" x14ac:dyDescent="0.35">
      <c r="E55" s="445" t="s">
        <v>225</v>
      </c>
      <c r="F55" s="445"/>
      <c r="G55" s="445"/>
      <c r="H55" s="209"/>
      <c r="I55" s="210">
        <f>+J55*K55</f>
        <v>0</v>
      </c>
      <c r="J55" s="296">
        <f>+J47*0</f>
        <v>0</v>
      </c>
      <c r="K55" s="215">
        <f>+((15*2.8)*2.72)*K26</f>
        <v>0</v>
      </c>
      <c r="L55" s="346">
        <v>1.6919982016368774E-2</v>
      </c>
      <c r="M55" s="344">
        <f>+L55*K55</f>
        <v>0</v>
      </c>
    </row>
    <row r="56" spans="2:13" ht="14.4" customHeight="1" x14ac:dyDescent="0.35">
      <c r="E56" s="445" t="s">
        <v>297</v>
      </c>
      <c r="F56" s="445"/>
      <c r="G56" s="445"/>
      <c r="H56" s="209"/>
      <c r="I56" s="210">
        <f>SUM(I54:I55)</f>
        <v>0</v>
      </c>
      <c r="J56" s="214"/>
      <c r="K56" s="246"/>
      <c r="L56" s="347"/>
      <c r="M56" s="349"/>
    </row>
    <row r="57" spans="2:13" ht="14.4" customHeight="1" x14ac:dyDescent="0.3">
      <c r="E57" s="227"/>
      <c r="F57" s="227"/>
      <c r="G57" s="227"/>
      <c r="H57" s="209"/>
      <c r="I57" s="210"/>
      <c r="J57" s="214"/>
      <c r="K57" s="246"/>
      <c r="L57" s="213"/>
      <c r="M57" s="352">
        <f>SUM(M46:M56)</f>
        <v>0</v>
      </c>
    </row>
    <row r="58" spans="2:13" ht="14.4" customHeight="1" x14ac:dyDescent="0.3">
      <c r="L58" s="213"/>
    </row>
    <row r="59" spans="2:13" ht="7.75" customHeight="1" thickBot="1" x14ac:dyDescent="0.35"/>
    <row r="60" spans="2:13" ht="30" customHeight="1" thickBot="1" x14ac:dyDescent="0.35">
      <c r="B60" s="191"/>
      <c r="C60" s="446" t="s">
        <v>88</v>
      </c>
      <c r="D60" s="446"/>
      <c r="E60" s="192"/>
      <c r="F60" s="192"/>
      <c r="G60" s="192"/>
      <c r="H60" s="192"/>
      <c r="I60" s="216"/>
      <c r="J60" s="193"/>
    </row>
    <row r="61" spans="2:13" ht="38" customHeight="1" x14ac:dyDescent="0.3">
      <c r="C61" s="217" t="s">
        <v>89</v>
      </c>
      <c r="D61" s="195">
        <f>SUMPRODUCT((LEFT(G21:G35, 5)="Jumbo") / (COUNTIF(G21:G35, G21:G35 &amp; "") + (G21:G35="")))</f>
        <v>0</v>
      </c>
      <c r="E61" s="447" t="s">
        <v>90</v>
      </c>
      <c r="F61" s="447"/>
      <c r="G61" s="218">
        <v>0.20833333333333334</v>
      </c>
      <c r="I61" s="139"/>
      <c r="J61" s="190"/>
    </row>
    <row r="62" spans="2:13" ht="38" customHeight="1" x14ac:dyDescent="0.3">
      <c r="E62" s="447" t="s">
        <v>93</v>
      </c>
      <c r="F62" s="447"/>
      <c r="G62" s="195">
        <f>15000/(60)</f>
        <v>250</v>
      </c>
      <c r="H62" s="219" t="s">
        <v>143</v>
      </c>
      <c r="I62" s="139"/>
      <c r="J62" s="190"/>
    </row>
    <row r="63" spans="2:13" ht="38" customHeight="1" x14ac:dyDescent="0.3">
      <c r="E63" s="448" t="s">
        <v>91</v>
      </c>
      <c r="F63" s="448"/>
      <c r="G63" s="207" t="e">
        <f>+SUM(SUMIF($G$21:$G$35, "Jumbo*", $J$21:$J$35))/SUMPRODUCT((LEFT(G21:G35, 5)="Jumbo") / (COUNTIF(G21:G35, G21:G35 &amp; "") + (G21:G35="")))</f>
        <v>#DIV/0!</v>
      </c>
      <c r="H63" s="220" t="e">
        <f>+G63*24/($G$61*24)</f>
        <v>#DIV/0!</v>
      </c>
      <c r="I63" s="190"/>
      <c r="J63" s="190"/>
    </row>
    <row r="64" spans="2:13" ht="38" customHeight="1" x14ac:dyDescent="0.3">
      <c r="E64" s="448" t="s">
        <v>92</v>
      </c>
      <c r="F64" s="448"/>
      <c r="G64" s="221" t="e">
        <f>+SUM(V21:V35)/D61</f>
        <v>#DIV/0!</v>
      </c>
      <c r="H64" s="220" t="e">
        <f>+G64/G62</f>
        <v>#DIV/0!</v>
      </c>
      <c r="I64" s="190"/>
      <c r="J64" s="190"/>
    </row>
    <row r="65" spans="2:10" ht="38" customHeight="1" x14ac:dyDescent="0.3">
      <c r="G65" s="222" t="s">
        <v>87</v>
      </c>
      <c r="H65" s="139" t="s">
        <v>23</v>
      </c>
    </row>
    <row r="66" spans="2:10" ht="20" customHeight="1" x14ac:dyDescent="0.3">
      <c r="F66" s="208" t="s">
        <v>65</v>
      </c>
      <c r="G66" s="221">
        <f t="shared" ref="G66:G71" si="8" xml:space="preserve"> SUMIF($G$21:$G$35, +F66,$V$21:$V$35)</f>
        <v>0</v>
      </c>
      <c r="H66" s="220">
        <f t="shared" ref="H66:H71" si="9">+G66/$G$62</f>
        <v>0</v>
      </c>
    </row>
    <row r="67" spans="2:10" ht="20" customHeight="1" x14ac:dyDescent="0.3">
      <c r="F67" s="208" t="s">
        <v>66</v>
      </c>
      <c r="G67" s="221">
        <f t="shared" si="8"/>
        <v>0</v>
      </c>
      <c r="H67" s="220">
        <f t="shared" si="9"/>
        <v>0</v>
      </c>
    </row>
    <row r="68" spans="2:10" ht="20" customHeight="1" x14ac:dyDescent="0.3">
      <c r="F68" s="208" t="s">
        <v>67</v>
      </c>
      <c r="G68" s="221">
        <f t="shared" si="8"/>
        <v>0</v>
      </c>
      <c r="H68" s="220">
        <f t="shared" si="9"/>
        <v>0</v>
      </c>
    </row>
    <row r="69" spans="2:10" ht="20" customHeight="1" x14ac:dyDescent="0.3">
      <c r="F69" s="208" t="s">
        <v>68</v>
      </c>
      <c r="G69" s="221">
        <f t="shared" si="8"/>
        <v>0</v>
      </c>
      <c r="H69" s="220">
        <f t="shared" si="9"/>
        <v>0</v>
      </c>
    </row>
    <row r="70" spans="2:10" ht="20" customHeight="1" x14ac:dyDescent="0.3">
      <c r="F70" s="208" t="s">
        <v>69</v>
      </c>
      <c r="G70" s="221">
        <f t="shared" si="8"/>
        <v>0</v>
      </c>
      <c r="H70" s="220">
        <f t="shared" si="9"/>
        <v>0</v>
      </c>
    </row>
    <row r="71" spans="2:10" ht="20" customHeight="1" x14ac:dyDescent="0.3">
      <c r="F71" s="208" t="s">
        <v>70</v>
      </c>
      <c r="G71" s="221">
        <f t="shared" si="8"/>
        <v>0</v>
      </c>
      <c r="H71" s="220">
        <f t="shared" si="9"/>
        <v>0</v>
      </c>
    </row>
    <row r="72" spans="2:10" ht="20" customHeight="1" x14ac:dyDescent="0.3">
      <c r="F72" s="208" t="s">
        <v>146</v>
      </c>
      <c r="G72" s="223">
        <f>+SUM(G66:G71)</f>
        <v>0</v>
      </c>
      <c r="H72" s="220" t="e">
        <f>+G72/($G$62*$D$61)</f>
        <v>#DIV/0!</v>
      </c>
    </row>
    <row r="73" spans="2:10" ht="13.5" thickBot="1" x14ac:dyDescent="0.35"/>
    <row r="74" spans="2:10" ht="30" customHeight="1" thickBot="1" x14ac:dyDescent="0.35">
      <c r="B74" s="191"/>
      <c r="C74" s="446" t="s">
        <v>107</v>
      </c>
      <c r="D74" s="446"/>
      <c r="E74" s="192"/>
      <c r="F74" s="192"/>
      <c r="G74" s="192"/>
      <c r="H74" s="192"/>
      <c r="I74" s="216"/>
      <c r="J74" s="193"/>
    </row>
    <row r="75" spans="2:10" ht="38" customHeight="1" x14ac:dyDescent="0.3">
      <c r="C75" s="208" t="s">
        <v>95</v>
      </c>
      <c r="D75" s="195">
        <f>SUMPRODUCT((LEFT(G21:G35, 5)="Scoop") / (COUNTIF(G21:G35, G21:G35 &amp; "") + (G21:G35="")))</f>
        <v>0</v>
      </c>
      <c r="E75" s="447" t="s">
        <v>90</v>
      </c>
      <c r="F75" s="447"/>
      <c r="G75" s="218">
        <v>0.20833333333333334</v>
      </c>
      <c r="I75" s="139"/>
      <c r="J75" s="190"/>
    </row>
    <row r="76" spans="2:10" ht="38" customHeight="1" x14ac:dyDescent="0.3">
      <c r="C76" s="208" t="s">
        <v>145</v>
      </c>
      <c r="D76" s="195">
        <v>4.9000000000000004</v>
      </c>
      <c r="E76" s="447" t="s">
        <v>97</v>
      </c>
      <c r="F76" s="447"/>
      <c r="G76" s="195">
        <f>15000/(60)</f>
        <v>250</v>
      </c>
      <c r="H76" s="219" t="s">
        <v>23</v>
      </c>
      <c r="I76" s="139"/>
      <c r="J76" s="190"/>
    </row>
    <row r="77" spans="2:10" ht="38" customHeight="1" x14ac:dyDescent="0.3">
      <c r="E77" s="448" t="s">
        <v>98</v>
      </c>
      <c r="F77" s="448"/>
      <c r="G77" s="207" t="e">
        <f>+SUM(SUMIF($G$21:$G$35, "Scoop*", $J$21:$J$35))/SUMPRODUCT((LEFT(G21:G35, 5)="Scoop") / (COUNTIF(G21:G35, G21:G35 &amp; "") + (G21:G35="")))</f>
        <v>#DIV/0!</v>
      </c>
      <c r="H77" s="220" t="e">
        <f>+G77*24/($G$75*24)</f>
        <v>#DIV/0!</v>
      </c>
      <c r="I77" s="190"/>
      <c r="J77" s="190"/>
    </row>
    <row r="78" spans="2:10" ht="38" customHeight="1" x14ac:dyDescent="0.3">
      <c r="E78" s="448" t="s">
        <v>99</v>
      </c>
      <c r="F78" s="448"/>
      <c r="G78" s="221" t="e">
        <f>+SUM(W21:W35)*D76/D75</f>
        <v>#DIV/0!</v>
      </c>
      <c r="H78" s="220" t="e">
        <f>+G78/G76</f>
        <v>#DIV/0!</v>
      </c>
      <c r="I78" s="190"/>
      <c r="J78" s="190"/>
    </row>
    <row r="79" spans="2:10" ht="38" customHeight="1" x14ac:dyDescent="0.3">
      <c r="G79" s="222" t="s">
        <v>96</v>
      </c>
      <c r="H79" s="139" t="s">
        <v>23</v>
      </c>
    </row>
    <row r="80" spans="2:10" ht="20" customHeight="1" x14ac:dyDescent="0.3">
      <c r="F80" s="208" t="s">
        <v>71</v>
      </c>
      <c r="G80" s="221">
        <f t="shared" ref="G80:G85" si="10" xml:space="preserve"> SUMIF($G$21:$G$35, +F80,$W$21:$W$35)*$D$76</f>
        <v>0</v>
      </c>
      <c r="H80" s="220">
        <f>+G80/$G$76</f>
        <v>0</v>
      </c>
    </row>
    <row r="81" spans="2:10" ht="20" customHeight="1" x14ac:dyDescent="0.3">
      <c r="F81" s="208" t="s">
        <v>72</v>
      </c>
      <c r="G81" s="221">
        <f t="shared" si="10"/>
        <v>0</v>
      </c>
      <c r="H81" s="220">
        <f t="shared" ref="H81:H86" si="11">+G81/$G$76</f>
        <v>0</v>
      </c>
    </row>
    <row r="82" spans="2:10" ht="20" customHeight="1" x14ac:dyDescent="0.3">
      <c r="F82" s="208" t="s">
        <v>73</v>
      </c>
      <c r="G82" s="221">
        <f t="shared" si="10"/>
        <v>0</v>
      </c>
      <c r="H82" s="220">
        <f t="shared" si="11"/>
        <v>0</v>
      </c>
    </row>
    <row r="83" spans="2:10" ht="20" customHeight="1" x14ac:dyDescent="0.3">
      <c r="F83" s="208" t="s">
        <v>74</v>
      </c>
      <c r="G83" s="221">
        <f t="shared" si="10"/>
        <v>0</v>
      </c>
      <c r="H83" s="220">
        <f t="shared" si="11"/>
        <v>0</v>
      </c>
    </row>
    <row r="84" spans="2:10" ht="20" customHeight="1" x14ac:dyDescent="0.3">
      <c r="F84" s="208" t="s">
        <v>75</v>
      </c>
      <c r="G84" s="221">
        <f t="shared" si="10"/>
        <v>0</v>
      </c>
      <c r="H84" s="220">
        <f t="shared" si="11"/>
        <v>0</v>
      </c>
    </row>
    <row r="85" spans="2:10" ht="20" customHeight="1" x14ac:dyDescent="0.3">
      <c r="F85" s="208" t="s">
        <v>76</v>
      </c>
      <c r="G85" s="221">
        <f t="shared" si="10"/>
        <v>0</v>
      </c>
      <c r="H85" s="220">
        <f t="shared" si="11"/>
        <v>0</v>
      </c>
    </row>
    <row r="86" spans="2:10" ht="20" customHeight="1" x14ac:dyDescent="0.3">
      <c r="F86" s="208" t="s">
        <v>146</v>
      </c>
      <c r="G86" s="223">
        <f>+SUM(G80:G85)</f>
        <v>0</v>
      </c>
      <c r="H86" s="220">
        <f t="shared" si="11"/>
        <v>0</v>
      </c>
    </row>
    <row r="87" spans="2:10" ht="13.5" thickBot="1" x14ac:dyDescent="0.35"/>
    <row r="88" spans="2:10" ht="30" customHeight="1" thickBot="1" x14ac:dyDescent="0.35">
      <c r="B88" s="191"/>
      <c r="C88" s="446" t="s">
        <v>149</v>
      </c>
      <c r="D88" s="446"/>
      <c r="E88" s="192"/>
      <c r="F88" s="192"/>
      <c r="G88" s="192"/>
      <c r="H88" s="192"/>
      <c r="I88" s="216"/>
      <c r="J88" s="193"/>
    </row>
    <row r="89" spans="2:10" ht="25.25" customHeight="1" x14ac:dyDescent="0.3">
      <c r="C89" s="208" t="s">
        <v>150</v>
      </c>
      <c r="D89" s="195">
        <f>SUMPRODUCT((LEFT(G21:G35, 8)="Roboshot") / (COUNTIF(G21:G35, G21:G35 &amp; "") + (G21:G35="")))</f>
        <v>0</v>
      </c>
      <c r="E89" s="447" t="s">
        <v>90</v>
      </c>
      <c r="F89" s="447"/>
      <c r="G89" s="218">
        <v>0.20833333333333334</v>
      </c>
    </row>
    <row r="90" spans="2:10" x14ac:dyDescent="0.3">
      <c r="C90" s="208"/>
      <c r="D90" s="195"/>
      <c r="E90" s="447" t="s">
        <v>97</v>
      </c>
      <c r="F90" s="447"/>
      <c r="G90" s="195">
        <v>12</v>
      </c>
      <c r="H90" s="219" t="s">
        <v>23</v>
      </c>
    </row>
    <row r="92" spans="2:10" x14ac:dyDescent="0.3">
      <c r="G92" s="222" t="s">
        <v>96</v>
      </c>
      <c r="H92" s="139" t="s">
        <v>23</v>
      </c>
    </row>
    <row r="93" spans="2:10" x14ac:dyDescent="0.3">
      <c r="F93" s="208" t="s">
        <v>77</v>
      </c>
      <c r="G93" s="221">
        <f xml:space="preserve"> SUMIF($G$21:$G$35, +F93,$X$21:$X$35)</f>
        <v>0</v>
      </c>
      <c r="H93" s="220">
        <f>+G93/$G$90</f>
        <v>0</v>
      </c>
    </row>
    <row r="94" spans="2:10" x14ac:dyDescent="0.3">
      <c r="F94" s="208" t="s">
        <v>78</v>
      </c>
      <c r="G94" s="221">
        <f xml:space="preserve"> SUMIF($G$21:$G$35, +F94,$X$21:$X$35)</f>
        <v>0</v>
      </c>
      <c r="H94" s="220">
        <f t="shared" ref="H94:H95" si="12">+G94/$G$90</f>
        <v>0</v>
      </c>
    </row>
    <row r="95" spans="2:10" x14ac:dyDescent="0.3">
      <c r="F95" s="208" t="s">
        <v>79</v>
      </c>
      <c r="G95" s="221">
        <f xml:space="preserve"> SUMIF($G$21:$G$35, +F95,$X$21:$X$35)</f>
        <v>0</v>
      </c>
      <c r="H95" s="220">
        <f t="shared" si="12"/>
        <v>0</v>
      </c>
    </row>
    <row r="96" spans="2:10" x14ac:dyDescent="0.3">
      <c r="F96" s="208" t="s">
        <v>146</v>
      </c>
      <c r="G96" s="223">
        <f>+SUM(G93:G95)</f>
        <v>0</v>
      </c>
      <c r="H96" s="220">
        <f>+G96/$G$90</f>
        <v>0</v>
      </c>
    </row>
  </sheetData>
  <mergeCells count="41">
    <mergeCell ref="E90:F90"/>
    <mergeCell ref="C74:D74"/>
    <mergeCell ref="E75:F75"/>
    <mergeCell ref="E76:F76"/>
    <mergeCell ref="E77:F77"/>
    <mergeCell ref="E78:F78"/>
    <mergeCell ref="C88:D88"/>
    <mergeCell ref="C60:D60"/>
    <mergeCell ref="E61:F61"/>
    <mergeCell ref="E62:F62"/>
    <mergeCell ref="E63:F63"/>
    <mergeCell ref="E89:F89"/>
    <mergeCell ref="E64:F64"/>
    <mergeCell ref="E49:G49"/>
    <mergeCell ref="E50:G50"/>
    <mergeCell ref="E51:G51"/>
    <mergeCell ref="E52:G52"/>
    <mergeCell ref="E54:G54"/>
    <mergeCell ref="E55:G55"/>
    <mergeCell ref="E56:G56"/>
    <mergeCell ref="E48:G48"/>
    <mergeCell ref="K9:L9"/>
    <mergeCell ref="K10:L10"/>
    <mergeCell ref="K11:L11"/>
    <mergeCell ref="K12:L12"/>
    <mergeCell ref="B14:S14"/>
    <mergeCell ref="C40:D40"/>
    <mergeCell ref="G40:H40"/>
    <mergeCell ref="I40:J40"/>
    <mergeCell ref="K40:L40"/>
    <mergeCell ref="E41:F41"/>
    <mergeCell ref="E42:F42"/>
    <mergeCell ref="E43:F43"/>
    <mergeCell ref="E46:G46"/>
    <mergeCell ref="E47:G47"/>
    <mergeCell ref="K8:L8"/>
    <mergeCell ref="B1:D4"/>
    <mergeCell ref="E2:R2"/>
    <mergeCell ref="E3:R4"/>
    <mergeCell ref="K6:L6"/>
    <mergeCell ref="K7:L7"/>
  </mergeCells>
  <conditionalFormatting sqref="H42:H43 J42:J43">
    <cfRule type="cellIs" dxfId="209" priority="13" operator="greaterThan">
      <formula>0.9</formula>
    </cfRule>
    <cfRule type="cellIs" dxfId="208" priority="14" operator="between">
      <formula>0.81</formula>
      <formula>0.89</formula>
    </cfRule>
    <cfRule type="cellIs" dxfId="207" priority="15" operator="lessThan">
      <formula>0.8</formula>
    </cfRule>
  </conditionalFormatting>
  <conditionalFormatting sqref="H63:H64">
    <cfRule type="cellIs" dxfId="206" priority="16" operator="greaterThan">
      <formula>0.9</formula>
    </cfRule>
    <cfRule type="cellIs" dxfId="205" priority="17" operator="between">
      <formula>0.81</formula>
      <formula>0.89</formula>
    </cfRule>
    <cfRule type="cellIs" dxfId="204" priority="18" operator="lessThan">
      <formula>0.8</formula>
    </cfRule>
  </conditionalFormatting>
  <conditionalFormatting sqref="H66:H72">
    <cfRule type="cellIs" dxfId="203" priority="19" operator="greaterThan">
      <formula>0.9</formula>
    </cfRule>
    <cfRule type="cellIs" dxfId="202" priority="20" operator="between">
      <formula>0.81</formula>
      <formula>0.89</formula>
    </cfRule>
    <cfRule type="cellIs" dxfId="201" priority="21" operator="lessThan">
      <formula>0.8</formula>
    </cfRule>
  </conditionalFormatting>
  <conditionalFormatting sqref="H77:H78">
    <cfRule type="cellIs" dxfId="200" priority="7" operator="greaterThan">
      <formula>0.9</formula>
    </cfRule>
    <cfRule type="cellIs" dxfId="199" priority="8" operator="between">
      <formula>0.81</formula>
      <formula>0.89</formula>
    </cfRule>
    <cfRule type="cellIs" dxfId="198" priority="9" operator="lessThan">
      <formula>0.8</formula>
    </cfRule>
  </conditionalFormatting>
  <conditionalFormatting sqref="H80:H86">
    <cfRule type="cellIs" dxfId="197" priority="10" operator="greaterThan">
      <formula>0.9</formula>
    </cfRule>
    <cfRule type="cellIs" dxfId="196" priority="11" operator="between">
      <formula>0.81</formula>
      <formula>0.89</formula>
    </cfRule>
    <cfRule type="cellIs" dxfId="195" priority="12" operator="lessThan">
      <formula>0.8</formula>
    </cfRule>
  </conditionalFormatting>
  <conditionalFormatting sqref="H93:H96">
    <cfRule type="cellIs" dxfId="194" priority="4" operator="greaterThan">
      <formula>0.9</formula>
    </cfRule>
    <cfRule type="cellIs" dxfId="193" priority="5" operator="between">
      <formula>0.81</formula>
      <formula>0.89</formula>
    </cfRule>
    <cfRule type="cellIs" dxfId="192" priority="6" operator="lessThan">
      <formula>0.8</formula>
    </cfRule>
  </conditionalFormatting>
  <conditionalFormatting sqref="L42:L43">
    <cfRule type="cellIs" dxfId="191" priority="1" operator="greaterThan">
      <formula>0.9</formula>
    </cfRule>
    <cfRule type="cellIs" dxfId="190" priority="2" operator="between">
      <formula>0.81</formula>
      <formula>0.89</formula>
    </cfRule>
    <cfRule type="cellIs" dxfId="189" priority="3" operator="lessThan">
      <formula>0.8</formula>
    </cfRule>
  </conditionalFormatting>
  <pageMargins left="0.25" right="0.25" top="0.75" bottom="0.75" header="0.3" footer="0.3"/>
  <pageSetup scale="3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4A973B0-5B5E-4746-B1ED-AB11B2B45344}">
          <x14:formula1>
            <xm:f>Datos!$F$3:$F$41</xm:f>
          </x14:formula1>
          <xm:sqref>G30:G38 G21:G27</xm:sqref>
        </x14:dataValidation>
        <x14:dataValidation type="list" allowBlank="1" showInputMessage="1" showErrorMessage="1" xr:uid="{F6C01DD3-6A96-4C38-B37D-C358D5C7B1E9}">
          <x14:formula1>
            <xm:f>Datos!$W$3:$W$12</xm:f>
          </x14:formula1>
          <xm:sqref>L30:L38 L21:L27</xm:sqref>
        </x14:dataValidation>
        <x14:dataValidation type="list" allowBlank="1" showInputMessage="1" showErrorMessage="1" xr:uid="{239993D7-99B7-4E0A-AC71-89BDA20F9C9E}">
          <x14:formula1>
            <xm:f>Datos!$D$3:$D$27</xm:f>
          </x14:formula1>
          <xm:sqref>F30:F38 F21:F27</xm:sqref>
        </x14:dataValidation>
        <x14:dataValidation type="list" allowBlank="1" showInputMessage="1" showErrorMessage="1" xr:uid="{D8A0851D-FB51-4B5C-971E-CE8CAC979DEC}">
          <x14:formula1>
            <xm:f>Datos!$B$3:$B$8</xm:f>
          </x14:formula1>
          <xm:sqref>E30:E38 E21:E27</xm:sqref>
        </x14:dataValidation>
        <x14:dataValidation type="list" allowBlank="1" showInputMessage="1" showErrorMessage="1" xr:uid="{54F7AF94-931A-4439-9DF2-F214E6066AD2}">
          <x14:formula1>
            <xm:f>Datos!$H$3:$H$34</xm:f>
          </x14:formula1>
          <xm:sqref>D30:D37 D21:D26</xm:sqref>
        </x14:dataValidation>
        <x14:dataValidation type="list" allowBlank="1" showInputMessage="1" showErrorMessage="1" xr:uid="{A9F38CE2-89DA-42C4-9DCB-3202D6420C58}">
          <x14:formula1>
            <xm:f>Datos!$H$3:$H$26</xm:f>
          </x14:formula1>
          <xm:sqref>D27 D38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93E0-96B9-4FF2-B058-7F02851B09E1}">
  <sheetPr>
    <pageSetUpPr fitToPage="1"/>
  </sheetPr>
  <dimension ref="B1:X94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O28" sqref="O28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6.90625" style="134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+G40</f>
        <v>0.33680555555555547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+H41</f>
        <v>0.33333333333333331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+G70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+G84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+G94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">
        <v>493</v>
      </c>
      <c r="D21" s="173" t="s">
        <v>172</v>
      </c>
      <c r="E21" s="172" t="s">
        <v>6</v>
      </c>
      <c r="F21" s="172" t="s">
        <v>165</v>
      </c>
      <c r="G21" s="172"/>
      <c r="H21" s="174">
        <v>0.86805555555555558</v>
      </c>
      <c r="I21" s="174">
        <v>0.88888888888888884</v>
      </c>
      <c r="J21" s="175">
        <f t="shared" ref="J21:J22" si="0">MOD(I21-H21, 1)</f>
        <v>2.0833333333333259E-2</v>
      </c>
      <c r="K21" s="178"/>
      <c r="L21" s="177"/>
      <c r="M21" s="178"/>
      <c r="N21" s="179">
        <v>1</v>
      </c>
      <c r="O21" s="186" t="s">
        <v>468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">
        <v>493</v>
      </c>
      <c r="D22" s="173" t="s">
        <v>51</v>
      </c>
      <c r="E22" s="172" t="s">
        <v>6</v>
      </c>
      <c r="F22" s="172" t="s">
        <v>165</v>
      </c>
      <c r="G22" s="172"/>
      <c r="H22" s="174">
        <v>0.89930555555555558</v>
      </c>
      <c r="I22" s="174">
        <v>0.95833333333333337</v>
      </c>
      <c r="J22" s="175">
        <f t="shared" si="0"/>
        <v>5.902777777777779E-2</v>
      </c>
      <c r="K22" s="178"/>
      <c r="L22" s="177"/>
      <c r="M22" s="178"/>
      <c r="N22" s="179">
        <v>0</v>
      </c>
      <c r="O22" s="186" t="s">
        <v>506</v>
      </c>
      <c r="P22" s="181"/>
      <c r="Q22" s="174"/>
      <c r="R22" s="172"/>
      <c r="S22" s="175">
        <f t="shared" ref="S22:S25" si="1">+MOD(R22-Q22,1)</f>
        <v>0</v>
      </c>
      <c r="U22" s="182">
        <f>+IFERROR(VLOOKUP(D22,Datos!$R$3:$T$19,3,FALSE), "0")*N22</f>
        <v>0</v>
      </c>
      <c r="V22" s="183" t="str">
        <f t="shared" ref="V22:V25" si="2">IF(OR(D22="Perforación de Fortificación", D22="Perforación de Avance", D22="Perforación Desquinche"), K22*M22, "")</f>
        <v/>
      </c>
      <c r="W22" s="183" t="str">
        <f t="shared" ref="W22:W25" si="3">IF(D22="Extracción de Marina Disparo",K22,"")</f>
        <v/>
      </c>
      <c r="X22" s="183" t="str">
        <f t="shared" ref="X22:X25" si="4">IF(OR(D22="Shotcrete", D22="Pre Shotcrete"), K22, "")</f>
        <v/>
      </c>
    </row>
    <row r="23" spans="2:24" ht="38" customHeight="1" x14ac:dyDescent="0.3">
      <c r="B23" s="172">
        <v>3500</v>
      </c>
      <c r="C23" s="173" t="s">
        <v>493</v>
      </c>
      <c r="D23" s="173" t="s">
        <v>51</v>
      </c>
      <c r="E23" s="172" t="s">
        <v>6</v>
      </c>
      <c r="F23" s="172" t="s">
        <v>165</v>
      </c>
      <c r="G23" s="172"/>
      <c r="H23" s="174">
        <v>0.98958333333333337</v>
      </c>
      <c r="I23" s="174">
        <v>0.24652777777777779</v>
      </c>
      <c r="J23" s="175">
        <f t="shared" ref="J23" si="5">MOD(I23-H23, 1)</f>
        <v>0.25694444444444442</v>
      </c>
      <c r="K23" s="178"/>
      <c r="L23" s="177"/>
      <c r="M23" s="178"/>
      <c r="N23" s="179">
        <v>0</v>
      </c>
      <c r="O23" s="186" t="s">
        <v>507</v>
      </c>
      <c r="P23" s="181"/>
      <c r="Q23" s="174"/>
      <c r="R23" s="172"/>
      <c r="S23" s="175">
        <f t="shared" ref="S23" si="6">+MOD(R23-Q23,1)</f>
        <v>0</v>
      </c>
      <c r="U23" s="182">
        <f>+IFERROR(VLOOKUP(D23,Datos!$R$3:$T$19,3,FALSE), "0")*N23</f>
        <v>0</v>
      </c>
      <c r="V23" s="183" t="str">
        <f t="shared" ref="V23" si="7">IF(OR(D23="Perforación de Fortificación", D23="Perforación de Avance", D23="Perforación Desquinche"), K23*M23, "")</f>
        <v/>
      </c>
      <c r="W23" s="183" t="str">
        <f t="shared" ref="W23" si="8">IF(D23="Extracción de Marina Disparo",K23,"")</f>
        <v/>
      </c>
      <c r="X23" s="183" t="str">
        <f t="shared" ref="X23" si="9">IF(OR(D23="Shotcrete", D23="Pre Shotcrete"), K23, "")</f>
        <v/>
      </c>
    </row>
    <row r="24" spans="2:24" ht="38" customHeight="1" x14ac:dyDescent="0.3">
      <c r="B24" s="172"/>
      <c r="C24" s="173"/>
      <c r="D24" s="173"/>
      <c r="E24" s="172"/>
      <c r="F24" s="172"/>
      <c r="G24" s="172"/>
      <c r="H24" s="174"/>
      <c r="I24" s="174"/>
      <c r="J24" s="175"/>
      <c r="K24" s="178"/>
      <c r="L24" s="177"/>
      <c r="M24" s="178"/>
      <c r="N24" s="179"/>
      <c r="O24" s="186"/>
      <c r="P24" s="181"/>
      <c r="Q24" s="174"/>
      <c r="R24" s="172"/>
      <c r="S24" s="175">
        <f t="shared" si="1"/>
        <v>0</v>
      </c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 t="s">
        <v>329</v>
      </c>
      <c r="J25" s="175">
        <f>MOD(I23-H21, 1)</f>
        <v>0.37847222222222221</v>
      </c>
      <c r="K25" s="178"/>
      <c r="L25" s="177"/>
      <c r="M25" s="178"/>
      <c r="N25" s="179"/>
      <c r="O25" s="186" t="s">
        <v>436</v>
      </c>
      <c r="P25" s="172"/>
      <c r="Q25" s="172"/>
      <c r="R25" s="172"/>
      <c r="S25" s="175">
        <f t="shared" si="1"/>
        <v>0</v>
      </c>
      <c r="U25" s="182">
        <f>SUM(U21:U23)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x14ac:dyDescent="0.3">
      <c r="B26" s="185" t="s">
        <v>158</v>
      </c>
      <c r="C26" s="63" t="s">
        <v>194</v>
      </c>
      <c r="D26" s="63"/>
      <c r="E26" s="63"/>
      <c r="F26" s="63"/>
      <c r="G26" s="63"/>
      <c r="H26" s="63"/>
      <c r="I26" s="63"/>
      <c r="J26" s="64"/>
      <c r="K26" s="64"/>
      <c r="L26" s="171"/>
      <c r="M26" s="63"/>
      <c r="N26" s="64"/>
      <c r="O26" s="64"/>
      <c r="P26" s="63"/>
      <c r="Q26" s="63"/>
      <c r="R26" s="63"/>
      <c r="S26" s="64"/>
      <c r="U26" s="63"/>
      <c r="V26" s="64"/>
      <c r="W26" s="64"/>
      <c r="X26" s="64"/>
    </row>
    <row r="27" spans="2:24" ht="52" x14ac:dyDescent="0.3">
      <c r="B27" s="63" t="s">
        <v>3</v>
      </c>
      <c r="C27" s="63" t="s">
        <v>2</v>
      </c>
      <c r="D27" s="63" t="s">
        <v>5</v>
      </c>
      <c r="E27" s="63" t="s">
        <v>22</v>
      </c>
      <c r="F27" s="63" t="s">
        <v>139</v>
      </c>
      <c r="G27" s="63" t="s">
        <v>29</v>
      </c>
      <c r="H27" s="63" t="s">
        <v>121</v>
      </c>
      <c r="I27" s="63" t="s">
        <v>4</v>
      </c>
      <c r="J27" s="64" t="s">
        <v>122</v>
      </c>
      <c r="K27" s="64" t="s">
        <v>131</v>
      </c>
      <c r="L27" s="171" t="s">
        <v>123</v>
      </c>
      <c r="M27" s="63" t="s">
        <v>134</v>
      </c>
      <c r="N27" s="64" t="s">
        <v>24</v>
      </c>
      <c r="O27" s="64" t="s">
        <v>130</v>
      </c>
      <c r="P27" s="63" t="s">
        <v>132</v>
      </c>
      <c r="Q27" s="63" t="s">
        <v>121</v>
      </c>
      <c r="R27" s="63" t="s">
        <v>4</v>
      </c>
      <c r="S27" s="64" t="s">
        <v>137</v>
      </c>
      <c r="U27" s="63" t="s">
        <v>109</v>
      </c>
      <c r="V27" s="64" t="s">
        <v>87</v>
      </c>
      <c r="W27" s="64" t="s">
        <v>128</v>
      </c>
      <c r="X27" s="64" t="s">
        <v>128</v>
      </c>
    </row>
    <row r="28" spans="2:24" ht="38" customHeight="1" x14ac:dyDescent="0.3">
      <c r="B28" s="172">
        <v>3700</v>
      </c>
      <c r="C28" s="173" t="str">
        <f>+Datos!$R$23</f>
        <v>Ciclo Minero 5,2 x 5,6 m
Galería Acceso Portal de Servicio</v>
      </c>
      <c r="D28" s="173" t="s">
        <v>110</v>
      </c>
      <c r="E28" s="172" t="s">
        <v>6</v>
      </c>
      <c r="F28" s="172" t="s">
        <v>166</v>
      </c>
      <c r="G28" s="172"/>
      <c r="H28" s="174">
        <v>0.83333333333333337</v>
      </c>
      <c r="I28" s="174">
        <v>1.3333333333333333</v>
      </c>
      <c r="J28" s="175">
        <f>I28-H28</f>
        <v>0.49999999999999989</v>
      </c>
      <c r="K28" s="178"/>
      <c r="L28" s="177"/>
      <c r="M28" s="178"/>
      <c r="N28" s="179">
        <v>1</v>
      </c>
      <c r="O28" s="186" t="s">
        <v>428</v>
      </c>
      <c r="P28" s="225"/>
      <c r="Q28" s="174"/>
      <c r="R28" s="174"/>
      <c r="S28" s="175"/>
      <c r="U28" s="187">
        <f>+IFERROR(VLOOKUP(D28,Datos!$R$24:$T$40,3,FALSE), "0")*N28</f>
        <v>0</v>
      </c>
      <c r="V28" s="183" t="str">
        <f t="shared" ref="V28:V36" si="10">IF(OR(D28="Perforación de Fortificación", D28="Perforación de Avance", D28="Perforación Desquinche"), K28*M28, "")</f>
        <v/>
      </c>
      <c r="W28" s="183" t="str">
        <f>IF(D28="Extracción de Marina Disparo",K28,"")</f>
        <v/>
      </c>
      <c r="X28" s="183" t="str">
        <f t="shared" ref="X28:X36" si="11">IF(OR(D28="Shotcrete", D28="Pre Shotcrete"), K28, "")</f>
        <v/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/>
      <c r="E29" s="172"/>
      <c r="F29" s="172"/>
      <c r="G29" s="172"/>
      <c r="H29" s="174"/>
      <c r="I29" s="174"/>
      <c r="J29" s="175"/>
      <c r="K29" s="178"/>
      <c r="L29" s="177"/>
      <c r="M29" s="178"/>
      <c r="N29" s="179"/>
      <c r="O29" s="225"/>
      <c r="P29" s="173"/>
      <c r="Q29" s="174"/>
      <c r="R29" s="174"/>
      <c r="S29" s="175"/>
      <c r="U29" s="187">
        <f>+IFERROR(VLOOKUP(D29,Datos!$R$24:$T$40,3,FALSE), "0")*N29</f>
        <v>0</v>
      </c>
      <c r="V29" s="183" t="str">
        <f t="shared" si="10"/>
        <v/>
      </c>
      <c r="W29" s="183" t="str">
        <f>IF(D29="Extracción de Marina Disparo",K29,"")</f>
        <v/>
      </c>
      <c r="X29" s="183" t="str">
        <f t="shared" si="11"/>
        <v/>
      </c>
    </row>
    <row r="30" spans="2:24" ht="53.4" customHeight="1" x14ac:dyDescent="0.3">
      <c r="B30" s="172">
        <v>3700</v>
      </c>
      <c r="C30" s="173" t="str">
        <f>+C28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81"/>
      <c r="Q30" s="174"/>
      <c r="R30" s="174"/>
      <c r="S30" s="175"/>
      <c r="U30" s="187">
        <f>+IFERROR(VLOOKUP(D30,Datos!$R$24:$T$40,3,FALSE), "0")*N30</f>
        <v>0</v>
      </c>
      <c r="V30" s="183" t="str">
        <f t="shared" si="10"/>
        <v/>
      </c>
      <c r="W30" s="183" t="str">
        <f t="shared" ref="W30:W36" si="12">IF(D30="Extracción de Marina Disparo",K30,"")</f>
        <v/>
      </c>
      <c r="X30" s="183" t="str">
        <f t="shared" si="11"/>
        <v/>
      </c>
    </row>
    <row r="31" spans="2:24" ht="38" customHeight="1" x14ac:dyDescent="0.3">
      <c r="B31" s="172">
        <v>3700</v>
      </c>
      <c r="C31" s="173" t="s">
        <v>397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186"/>
      <c r="P31" s="172"/>
      <c r="Q31" s="172"/>
      <c r="R31" s="172"/>
      <c r="S31" s="175"/>
      <c r="U31" s="187">
        <f>+IFERROR(VLOOKUP(D31,Datos!$R$24:$T$40,3,FALSE), "0")*N31</f>
        <v>0</v>
      </c>
      <c r="V31" s="183" t="str">
        <f t="shared" si="10"/>
        <v/>
      </c>
      <c r="W31" s="183" t="str">
        <f t="shared" si="12"/>
        <v/>
      </c>
      <c r="X31" s="183"/>
    </row>
    <row r="32" spans="2:24" ht="38" customHeight="1" x14ac:dyDescent="0.3">
      <c r="B32" s="172">
        <v>3700</v>
      </c>
      <c r="C32" s="173" t="str">
        <f>+C31</f>
        <v>Fróntón Bodega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10"/>
        <v/>
      </c>
      <c r="W32" s="183" t="str">
        <f t="shared" si="12"/>
        <v/>
      </c>
      <c r="X32" s="183" t="str">
        <f t="shared" si="11"/>
        <v/>
      </c>
    </row>
    <row r="33" spans="2:24" ht="38" customHeight="1" x14ac:dyDescent="0.3">
      <c r="B33" s="172"/>
      <c r="C33" s="173"/>
      <c r="D33" s="173"/>
      <c r="E33" s="172"/>
      <c r="F33" s="172"/>
      <c r="G33" s="172"/>
      <c r="H33" s="174"/>
      <c r="I33" s="174"/>
      <c r="J33" s="175">
        <f>MOD(I33-H33, 1)</f>
        <v>0</v>
      </c>
      <c r="K33" s="178"/>
      <c r="L33" s="177"/>
      <c r="M33" s="178"/>
      <c r="N33" s="179"/>
      <c r="O33" s="225"/>
      <c r="P33" s="172"/>
      <c r="Q33" s="172"/>
      <c r="R33" s="172"/>
      <c r="S33" s="175">
        <f t="shared" ref="S33:S36" si="13">+MOD(R33-Q33,1)</f>
        <v>0</v>
      </c>
      <c r="U33" s="187">
        <f>+IFERROR(VLOOKUP(D33,Datos!$R$24:$T$40,3,FALSE), "0")*N33</f>
        <v>0</v>
      </c>
      <c r="V33" s="183" t="str">
        <f t="shared" si="10"/>
        <v/>
      </c>
      <c r="W33" s="183" t="str">
        <f t="shared" si="12"/>
        <v/>
      </c>
      <c r="X33" s="183" t="str">
        <f t="shared" si="11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186"/>
      <c r="P34" s="172"/>
      <c r="Q34" s="172"/>
      <c r="R34" s="172"/>
      <c r="S34" s="175">
        <f t="shared" si="13"/>
        <v>0</v>
      </c>
      <c r="U34" s="187"/>
      <c r="V34" s="183" t="str">
        <f t="shared" si="10"/>
        <v/>
      </c>
      <c r="W34" s="183" t="str">
        <f t="shared" si="12"/>
        <v/>
      </c>
      <c r="X34" s="183" t="str">
        <f t="shared" si="11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13"/>
        <v>0</v>
      </c>
      <c r="U35" s="187"/>
      <c r="V35" s="183" t="str">
        <f t="shared" si="10"/>
        <v/>
      </c>
      <c r="W35" s="183" t="str">
        <f t="shared" si="12"/>
        <v/>
      </c>
      <c r="X35" s="183" t="str">
        <f t="shared" si="11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 t="s">
        <v>329</v>
      </c>
      <c r="J36" s="175"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13"/>
        <v>0</v>
      </c>
      <c r="U36" s="182">
        <f>SUM(U28:U35)</f>
        <v>0</v>
      </c>
      <c r="V36" s="183" t="str">
        <f t="shared" si="10"/>
        <v/>
      </c>
      <c r="W36" s="183" t="str">
        <f t="shared" si="12"/>
        <v/>
      </c>
      <c r="X36" s="183" t="str">
        <f t="shared" si="11"/>
        <v/>
      </c>
    </row>
    <row r="37" spans="2:24" ht="15.65" customHeight="1" thickBot="1" x14ac:dyDescent="0.35">
      <c r="B37" s="190"/>
      <c r="C37" s="190"/>
      <c r="D37" s="190"/>
      <c r="E37" s="190"/>
      <c r="F37" s="190"/>
      <c r="G37" s="190"/>
      <c r="H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</row>
    <row r="38" spans="2:24" ht="30" customHeight="1" thickBot="1" x14ac:dyDescent="0.35">
      <c r="B38" s="191"/>
      <c r="C38" s="446" t="s">
        <v>64</v>
      </c>
      <c r="D38" s="446"/>
      <c r="E38" s="192"/>
      <c r="F38" s="192"/>
      <c r="G38" s="431">
        <v>3500</v>
      </c>
      <c r="H38" s="432"/>
      <c r="I38" s="431">
        <v>3700</v>
      </c>
      <c r="J38" s="432"/>
      <c r="K38" s="433" t="s">
        <v>146</v>
      </c>
      <c r="L38" s="434"/>
      <c r="M38" s="190"/>
      <c r="N38" s="190"/>
      <c r="O38" s="190"/>
      <c r="P38" s="190"/>
      <c r="Q38" s="190"/>
      <c r="R38" s="190"/>
      <c r="S38" s="190"/>
    </row>
    <row r="39" spans="2:24" ht="30" customHeight="1" x14ac:dyDescent="0.3">
      <c r="C39" s="194" t="s">
        <v>48</v>
      </c>
      <c r="D39" s="195">
        <f>SUMPRODUCT((LEFT(F21:F33, 1)="C") / (COUNTIF(F21:F33, F21:F33 &amp; "") + (F21:F33="")))</f>
        <v>0</v>
      </c>
      <c r="E39" s="447" t="s">
        <v>90</v>
      </c>
      <c r="F39" s="447"/>
      <c r="G39" s="196">
        <v>0.26041666666666669</v>
      </c>
      <c r="H39" s="197" t="s">
        <v>23</v>
      </c>
      <c r="I39" s="196">
        <v>0.26041666666666669</v>
      </c>
      <c r="J39" s="197" t="s">
        <v>23</v>
      </c>
      <c r="K39" s="198">
        <f>+G39</f>
        <v>0.26041666666666669</v>
      </c>
      <c r="L39" s="197" t="s">
        <v>23</v>
      </c>
      <c r="M39" s="190"/>
      <c r="N39" s="190"/>
      <c r="O39" s="190"/>
      <c r="P39" s="190"/>
      <c r="Q39" s="190"/>
      <c r="R39" s="190"/>
      <c r="S39" s="190"/>
    </row>
    <row r="40" spans="2:24" x14ac:dyDescent="0.3">
      <c r="C40" s="194" t="s">
        <v>49</v>
      </c>
      <c r="D40" s="195">
        <f>SUMPRODUCT((LEFT(F21:F33, 1)="O") / (COUNTIF(F21:F33, F21:F33 &amp; "") + (F21:F33="")))</f>
        <v>0</v>
      </c>
      <c r="E40" s="448" t="s">
        <v>198</v>
      </c>
      <c r="F40" s="448"/>
      <c r="G40" s="199">
        <f>SUM(J21:J23)</f>
        <v>0.33680555555555547</v>
      </c>
      <c r="H40" s="200">
        <f>+G40*24/($G$39*24)</f>
        <v>1.2933333333333332</v>
      </c>
      <c r="I40" s="199">
        <f>SUM(J28:J33)</f>
        <v>0.49999999999999989</v>
      </c>
      <c r="J40" s="200">
        <f>+I40*24/($I$39*24)</f>
        <v>1.9199999999999995</v>
      </c>
      <c r="K40" s="201">
        <f>AVERAGE(G40+I40)/2</f>
        <v>0.41840277777777768</v>
      </c>
      <c r="L40" s="200">
        <f>+K40*24/($K$39*24)</f>
        <v>1.6066666666666662</v>
      </c>
      <c r="M40" s="190"/>
      <c r="N40" s="190"/>
      <c r="O40" s="190"/>
      <c r="P40" s="190"/>
      <c r="Q40" s="190"/>
      <c r="R40" s="190"/>
      <c r="S40" s="190"/>
    </row>
    <row r="41" spans="2:24" ht="43.25" customHeight="1" thickBot="1" x14ac:dyDescent="0.35">
      <c r="E41" s="448" t="s">
        <v>94</v>
      </c>
      <c r="F41" s="448"/>
      <c r="G41" s="202"/>
      <c r="H41" s="203">
        <f>+AVERAGE(N21:N25)</f>
        <v>0.33333333333333331</v>
      </c>
      <c r="I41" s="202"/>
      <c r="J41" s="203">
        <f>+AVERAGE(N28:N33)</f>
        <v>1</v>
      </c>
      <c r="K41" s="204"/>
      <c r="L41" s="203">
        <f>+AVERAGE(N21:N33)</f>
        <v>0.5</v>
      </c>
    </row>
    <row r="42" spans="2:24" ht="43.25" customHeight="1" x14ac:dyDescent="0.3">
      <c r="E42" s="205"/>
      <c r="F42" s="205"/>
      <c r="G42" s="206"/>
      <c r="H42" s="206"/>
      <c r="I42" s="137"/>
      <c r="J42" s="137"/>
      <c r="K42" s="137"/>
      <c r="L42" s="137"/>
    </row>
    <row r="43" spans="2:24" ht="43.25" customHeight="1" x14ac:dyDescent="0.3">
      <c r="E43" s="194"/>
      <c r="F43" s="194"/>
      <c r="G43" s="207"/>
      <c r="H43" s="208" t="s">
        <v>24</v>
      </c>
      <c r="I43" s="208" t="s">
        <v>199</v>
      </c>
      <c r="J43" s="208" t="s">
        <v>201</v>
      </c>
      <c r="K43" s="208" t="s">
        <v>404</v>
      </c>
      <c r="L43" s="345" t="s">
        <v>484</v>
      </c>
      <c r="M43" s="345" t="s">
        <v>485</v>
      </c>
      <c r="N43" s="208"/>
    </row>
    <row r="44" spans="2:24" ht="14.5" x14ac:dyDescent="0.35">
      <c r="E44" s="445" t="s">
        <v>174</v>
      </c>
      <c r="F44" s="445"/>
      <c r="G44" s="445"/>
      <c r="H44" s="209">
        <f>+U36</f>
        <v>0</v>
      </c>
      <c r="I44" s="298">
        <f>+H44*$J$44*$K$44</f>
        <v>0</v>
      </c>
      <c r="J44" s="298">
        <v>6.6</v>
      </c>
      <c r="K44" s="246">
        <v>3.42</v>
      </c>
      <c r="L44" s="344">
        <v>56.080975609756102</v>
      </c>
      <c r="M44" s="344">
        <f>+L44*K44*H44</f>
        <v>0</v>
      </c>
    </row>
    <row r="45" spans="2:24" ht="14.4" customHeight="1" x14ac:dyDescent="0.35">
      <c r="E45" s="445" t="s">
        <v>224</v>
      </c>
      <c r="F45" s="445"/>
      <c r="G45" s="445"/>
      <c r="H45" s="209"/>
      <c r="I45" s="298">
        <f>+J45*K45</f>
        <v>0</v>
      </c>
      <c r="J45" s="298">
        <f>1892/1000000</f>
        <v>1.892E-3</v>
      </c>
      <c r="K45" s="246">
        <f>+((15*4.4)*2.72)*0</f>
        <v>0</v>
      </c>
      <c r="L45" s="346">
        <v>1.6919982016368774E-2</v>
      </c>
      <c r="M45" s="344">
        <f>+L45*K45</f>
        <v>0</v>
      </c>
    </row>
    <row r="46" spans="2:24" ht="14.4" customHeight="1" x14ac:dyDescent="0.35">
      <c r="E46" s="445" t="s">
        <v>359</v>
      </c>
      <c r="F46" s="445"/>
      <c r="G46" s="445"/>
      <c r="H46" s="209"/>
      <c r="I46" s="298">
        <f>+J46*K46</f>
        <v>0</v>
      </c>
      <c r="J46" s="298">
        <v>0.340368</v>
      </c>
      <c r="K46" s="246">
        <v>0</v>
      </c>
      <c r="L46" s="346">
        <v>2.2358937544867188</v>
      </c>
      <c r="M46" s="344">
        <f>+L46*K46</f>
        <v>0</v>
      </c>
    </row>
    <row r="47" spans="2:24" ht="14.4" customHeight="1" x14ac:dyDescent="0.35">
      <c r="E47" s="445" t="s">
        <v>376</v>
      </c>
      <c r="F47" s="445"/>
      <c r="G47" s="445"/>
      <c r="H47" s="209">
        <v>0</v>
      </c>
      <c r="I47" s="298">
        <f>+H47*$J$47*$K$47</f>
        <v>0</v>
      </c>
      <c r="J47" s="298">
        <f>23683234/1000000</f>
        <v>23.683233999999999</v>
      </c>
      <c r="K47" s="226">
        <v>0</v>
      </c>
      <c r="L47" s="346">
        <v>254.98967741935485</v>
      </c>
      <c r="M47" s="344">
        <f>+L47*K47*H47</f>
        <v>0</v>
      </c>
    </row>
    <row r="48" spans="2:24" ht="14.4" customHeight="1" x14ac:dyDescent="0.35">
      <c r="E48" s="445" t="s">
        <v>236</v>
      </c>
      <c r="F48" s="445"/>
      <c r="G48" s="445"/>
      <c r="H48" s="209"/>
      <c r="I48" s="298">
        <f>+J48*K48</f>
        <v>0</v>
      </c>
      <c r="J48" s="298">
        <f>25508/1000000</f>
        <v>2.5507999999999999E-2</v>
      </c>
      <c r="K48" s="246">
        <f>7/(0.05)*0</f>
        <v>0</v>
      </c>
      <c r="L48" s="347" t="s">
        <v>486</v>
      </c>
      <c r="M48" s="349"/>
    </row>
    <row r="49" spans="2:13" ht="14.4" customHeight="1" x14ac:dyDescent="0.35">
      <c r="E49" s="445" t="s">
        <v>451</v>
      </c>
      <c r="F49" s="445"/>
      <c r="G49" s="445"/>
      <c r="H49" s="209">
        <v>1</v>
      </c>
      <c r="I49" s="298">
        <f>H49*J49</f>
        <v>7.9892054999999997</v>
      </c>
      <c r="J49" s="298">
        <f>15978411/2000000</f>
        <v>7.9892054999999997</v>
      </c>
      <c r="K49" s="246"/>
      <c r="L49" s="347" t="s">
        <v>486</v>
      </c>
      <c r="M49" s="344"/>
    </row>
    <row r="50" spans="2:13" ht="14.4" customHeight="1" x14ac:dyDescent="0.35">
      <c r="E50" s="445" t="s">
        <v>298</v>
      </c>
      <c r="F50" s="445"/>
      <c r="G50" s="445"/>
      <c r="H50" s="209"/>
      <c r="I50" s="210">
        <f>SUM(I44:I49)</f>
        <v>7.9892054999999997</v>
      </c>
      <c r="J50" s="214"/>
      <c r="K50" s="246"/>
      <c r="L50" s="344"/>
      <c r="M50" s="344"/>
    </row>
    <row r="51" spans="2:13" ht="14.4" customHeight="1" x14ac:dyDescent="0.35">
      <c r="E51" s="227"/>
      <c r="F51" s="227"/>
      <c r="G51" s="227"/>
      <c r="H51" s="209"/>
      <c r="I51" s="210"/>
      <c r="J51" s="214"/>
      <c r="K51" s="246"/>
      <c r="L51" s="344"/>
      <c r="M51" s="344"/>
    </row>
    <row r="52" spans="2:13" ht="14.4" customHeight="1" x14ac:dyDescent="0.35">
      <c r="E52" s="445" t="s">
        <v>175</v>
      </c>
      <c r="F52" s="445"/>
      <c r="G52" s="445"/>
      <c r="H52" s="209">
        <f>+U25</f>
        <v>0</v>
      </c>
      <c r="I52" s="210">
        <f>+H52*$J$52*$K$52</f>
        <v>0</v>
      </c>
      <c r="J52" s="211">
        <v>11.8</v>
      </c>
      <c r="K52" s="246">
        <v>4</v>
      </c>
      <c r="L52" s="344">
        <v>118.52055555555555</v>
      </c>
      <c r="M52" s="344">
        <f>+L52*K52*H52</f>
        <v>0</v>
      </c>
    </row>
    <row r="53" spans="2:13" ht="14.4" customHeight="1" x14ac:dyDescent="0.35">
      <c r="E53" s="445" t="s">
        <v>225</v>
      </c>
      <c r="F53" s="445"/>
      <c r="G53" s="445"/>
      <c r="H53" s="209"/>
      <c r="I53" s="210">
        <f>+J53*K53</f>
        <v>0</v>
      </c>
      <c r="J53" s="296">
        <f>+J45*0</f>
        <v>0</v>
      </c>
      <c r="K53" s="215">
        <f>+((15*2.8)*2.72)*0</f>
        <v>0</v>
      </c>
      <c r="L53" s="346">
        <v>1.6919982016368774E-2</v>
      </c>
      <c r="M53" s="344">
        <f>+L53*K53</f>
        <v>0</v>
      </c>
    </row>
    <row r="54" spans="2:13" ht="14.4" customHeight="1" x14ac:dyDescent="0.35">
      <c r="E54" s="445" t="s">
        <v>297</v>
      </c>
      <c r="F54" s="445"/>
      <c r="G54" s="445"/>
      <c r="H54" s="209"/>
      <c r="I54" s="210">
        <f>SUM(I52:I53)</f>
        <v>0</v>
      </c>
      <c r="J54" s="214"/>
      <c r="K54" s="246"/>
      <c r="L54" s="347"/>
      <c r="M54" s="349"/>
    </row>
    <row r="55" spans="2:13" ht="14.4" customHeight="1" x14ac:dyDescent="0.3">
      <c r="E55" s="227"/>
      <c r="F55" s="227"/>
      <c r="G55" s="227"/>
      <c r="H55" s="209"/>
      <c r="I55" s="210"/>
      <c r="J55" s="214"/>
      <c r="K55" s="246"/>
      <c r="L55" s="213"/>
      <c r="M55" s="352">
        <f>SUM(M44:M54)</f>
        <v>0</v>
      </c>
    </row>
    <row r="56" spans="2:13" ht="14.4" customHeight="1" x14ac:dyDescent="0.3">
      <c r="L56" s="213"/>
    </row>
    <row r="57" spans="2:13" ht="7.75" customHeight="1" thickBot="1" x14ac:dyDescent="0.35"/>
    <row r="58" spans="2:13" ht="30" customHeight="1" thickBot="1" x14ac:dyDescent="0.35">
      <c r="B58" s="191"/>
      <c r="C58" s="446" t="s">
        <v>88</v>
      </c>
      <c r="D58" s="446"/>
      <c r="E58" s="192"/>
      <c r="F58" s="192"/>
      <c r="G58" s="192"/>
      <c r="H58" s="192"/>
      <c r="I58" s="216"/>
      <c r="J58" s="193"/>
    </row>
    <row r="59" spans="2:13" ht="38" customHeight="1" x14ac:dyDescent="0.3">
      <c r="C59" s="217" t="s">
        <v>89</v>
      </c>
      <c r="D59" s="195">
        <f>SUMPRODUCT((LEFT(G21:G33, 5)="Jumbo") / (COUNTIF(G21:G33, G21:G33 &amp; "") + (G21:G33="")))</f>
        <v>0</v>
      </c>
      <c r="E59" s="447" t="s">
        <v>90</v>
      </c>
      <c r="F59" s="447"/>
      <c r="G59" s="218">
        <v>0.20833333333333334</v>
      </c>
      <c r="I59" s="139"/>
      <c r="J59" s="190"/>
    </row>
    <row r="60" spans="2:13" ht="38" customHeight="1" x14ac:dyDescent="0.3">
      <c r="E60" s="447" t="s">
        <v>93</v>
      </c>
      <c r="F60" s="447"/>
      <c r="G60" s="195">
        <f>15000/(60)</f>
        <v>250</v>
      </c>
      <c r="H60" s="219" t="s">
        <v>143</v>
      </c>
      <c r="I60" s="139"/>
      <c r="J60" s="190"/>
    </row>
    <row r="61" spans="2:13" ht="38" customHeight="1" x14ac:dyDescent="0.3">
      <c r="E61" s="448" t="s">
        <v>91</v>
      </c>
      <c r="F61" s="448"/>
      <c r="G61" s="207" t="e">
        <f>+SUM(SUMIF($G$21:$G$33, "Jumbo*", $J$21:$J$33))/SUMPRODUCT((LEFT(G21:G33, 5)="Jumbo") / (COUNTIF(G21:G33, G21:G33 &amp; "") + (G21:G33="")))</f>
        <v>#DIV/0!</v>
      </c>
      <c r="H61" s="220" t="e">
        <f>+G61*24/($G$59*24)</f>
        <v>#DIV/0!</v>
      </c>
      <c r="I61" s="190"/>
      <c r="J61" s="190"/>
    </row>
    <row r="62" spans="2:13" ht="38" customHeight="1" x14ac:dyDescent="0.3">
      <c r="E62" s="448" t="s">
        <v>92</v>
      </c>
      <c r="F62" s="448"/>
      <c r="G62" s="221" t="e">
        <f>+SUM(V21:V33)/D59</f>
        <v>#DIV/0!</v>
      </c>
      <c r="H62" s="220" t="e">
        <f>+G62/G60</f>
        <v>#DIV/0!</v>
      </c>
      <c r="I62" s="190"/>
      <c r="J62" s="190"/>
    </row>
    <row r="63" spans="2:13" ht="38" customHeight="1" x14ac:dyDescent="0.3">
      <c r="G63" s="222" t="s">
        <v>87</v>
      </c>
      <c r="H63" s="139" t="s">
        <v>23</v>
      </c>
    </row>
    <row r="64" spans="2:13" ht="20" customHeight="1" x14ac:dyDescent="0.3">
      <c r="F64" s="208" t="s">
        <v>65</v>
      </c>
      <c r="G64" s="221">
        <f t="shared" ref="G64:G69" si="14" xml:space="preserve"> SUMIF($G$21:$G$33, +F64,$V$21:$V$33)</f>
        <v>0</v>
      </c>
      <c r="H64" s="220">
        <f t="shared" ref="H64:H69" si="15">+G64/$G$60</f>
        <v>0</v>
      </c>
    </row>
    <row r="65" spans="2:10" ht="20" customHeight="1" x14ac:dyDescent="0.3">
      <c r="F65" s="208" t="s">
        <v>66</v>
      </c>
      <c r="G65" s="221">
        <f t="shared" si="14"/>
        <v>0</v>
      </c>
      <c r="H65" s="220">
        <f t="shared" si="15"/>
        <v>0</v>
      </c>
    </row>
    <row r="66" spans="2:10" ht="20" customHeight="1" x14ac:dyDescent="0.3">
      <c r="F66" s="208" t="s">
        <v>67</v>
      </c>
      <c r="G66" s="221">
        <f t="shared" si="14"/>
        <v>0</v>
      </c>
      <c r="H66" s="220">
        <f t="shared" si="15"/>
        <v>0</v>
      </c>
    </row>
    <row r="67" spans="2:10" ht="20" customHeight="1" x14ac:dyDescent="0.3">
      <c r="F67" s="208" t="s">
        <v>68</v>
      </c>
      <c r="G67" s="221">
        <f t="shared" si="14"/>
        <v>0</v>
      </c>
      <c r="H67" s="220">
        <f t="shared" si="15"/>
        <v>0</v>
      </c>
    </row>
    <row r="68" spans="2:10" ht="20" customHeight="1" x14ac:dyDescent="0.3">
      <c r="F68" s="208" t="s">
        <v>69</v>
      </c>
      <c r="G68" s="221">
        <f t="shared" si="14"/>
        <v>0</v>
      </c>
      <c r="H68" s="220">
        <f t="shared" si="15"/>
        <v>0</v>
      </c>
    </row>
    <row r="69" spans="2:10" ht="20" customHeight="1" x14ac:dyDescent="0.3">
      <c r="F69" s="208" t="s">
        <v>70</v>
      </c>
      <c r="G69" s="221">
        <f t="shared" si="14"/>
        <v>0</v>
      </c>
      <c r="H69" s="220">
        <f t="shared" si="15"/>
        <v>0</v>
      </c>
    </row>
    <row r="70" spans="2:10" ht="20" customHeight="1" x14ac:dyDescent="0.3">
      <c r="F70" s="208" t="s">
        <v>146</v>
      </c>
      <c r="G70" s="223">
        <f>+SUM(G64:G69)</f>
        <v>0</v>
      </c>
      <c r="H70" s="220" t="e">
        <f>+G70/($G$60*$D$59)</f>
        <v>#DIV/0!</v>
      </c>
    </row>
    <row r="71" spans="2:10" ht="13.5" thickBot="1" x14ac:dyDescent="0.35"/>
    <row r="72" spans="2:10" ht="30" customHeight="1" thickBot="1" x14ac:dyDescent="0.35">
      <c r="B72" s="191"/>
      <c r="C72" s="446" t="s">
        <v>107</v>
      </c>
      <c r="D72" s="446"/>
      <c r="E72" s="192"/>
      <c r="F72" s="192"/>
      <c r="G72" s="192"/>
      <c r="H72" s="192"/>
      <c r="I72" s="216"/>
      <c r="J72" s="193"/>
    </row>
    <row r="73" spans="2:10" ht="38" customHeight="1" x14ac:dyDescent="0.3">
      <c r="C73" s="208" t="s">
        <v>95</v>
      </c>
      <c r="D73" s="195">
        <f>SUMPRODUCT((LEFT(G21:G33, 5)="Scoop") / (COUNTIF(G21:G33, G21:G33 &amp; "") + (G21:G33="")))</f>
        <v>0</v>
      </c>
      <c r="E73" s="447" t="s">
        <v>90</v>
      </c>
      <c r="F73" s="447"/>
      <c r="G73" s="218">
        <v>0.20833333333333334</v>
      </c>
      <c r="I73" s="139"/>
      <c r="J73" s="190"/>
    </row>
    <row r="74" spans="2:10" ht="38" customHeight="1" x14ac:dyDescent="0.3">
      <c r="C74" s="208" t="s">
        <v>145</v>
      </c>
      <c r="D74" s="195">
        <v>4.9000000000000004</v>
      </c>
      <c r="E74" s="447" t="s">
        <v>97</v>
      </c>
      <c r="F74" s="447"/>
      <c r="G74" s="195">
        <f>15000/(60)</f>
        <v>250</v>
      </c>
      <c r="H74" s="219" t="s">
        <v>23</v>
      </c>
      <c r="I74" s="139"/>
      <c r="J74" s="190"/>
    </row>
    <row r="75" spans="2:10" ht="38" customHeight="1" x14ac:dyDescent="0.3">
      <c r="E75" s="448" t="s">
        <v>98</v>
      </c>
      <c r="F75" s="448"/>
      <c r="G75" s="207" t="e">
        <f>+SUM(SUMIF($G$21:$G$33, "Scoop*", $J$21:$J$33))/SUMPRODUCT((LEFT(G21:G33, 5)="Scoop") / (COUNTIF(G21:G33, G21:G33 &amp; "") + (G21:G33="")))</f>
        <v>#DIV/0!</v>
      </c>
      <c r="H75" s="220" t="e">
        <f>+G75*24/($G$73*24)</f>
        <v>#DIV/0!</v>
      </c>
      <c r="I75" s="190"/>
      <c r="J75" s="190"/>
    </row>
    <row r="76" spans="2:10" ht="38" customHeight="1" x14ac:dyDescent="0.3">
      <c r="E76" s="448" t="s">
        <v>99</v>
      </c>
      <c r="F76" s="448"/>
      <c r="G76" s="221" t="e">
        <f>+SUM(W21:W33)*D74/D73</f>
        <v>#DIV/0!</v>
      </c>
      <c r="H76" s="220" t="e">
        <f>+G76/G74</f>
        <v>#DIV/0!</v>
      </c>
      <c r="I76" s="190"/>
      <c r="J76" s="190"/>
    </row>
    <row r="77" spans="2:10" ht="38" customHeight="1" x14ac:dyDescent="0.3">
      <c r="G77" s="222" t="s">
        <v>96</v>
      </c>
      <c r="H77" s="139" t="s">
        <v>23</v>
      </c>
    </row>
    <row r="78" spans="2:10" ht="20" customHeight="1" x14ac:dyDescent="0.3">
      <c r="F78" s="208" t="s">
        <v>71</v>
      </c>
      <c r="G78" s="221">
        <f t="shared" ref="G78:G83" si="16" xml:space="preserve"> SUMIF($G$21:$G$33, +F78,$W$21:$W$33)*$D$74</f>
        <v>0</v>
      </c>
      <c r="H78" s="220">
        <f>+G78/$G$74</f>
        <v>0</v>
      </c>
    </row>
    <row r="79" spans="2:10" ht="20" customHeight="1" x14ac:dyDescent="0.3">
      <c r="F79" s="208" t="s">
        <v>72</v>
      </c>
      <c r="G79" s="221">
        <f t="shared" si="16"/>
        <v>0</v>
      </c>
      <c r="H79" s="220">
        <f t="shared" ref="H79:H84" si="17">+G79/$G$74</f>
        <v>0</v>
      </c>
    </row>
    <row r="80" spans="2:10" ht="20" customHeight="1" x14ac:dyDescent="0.3">
      <c r="F80" s="208" t="s">
        <v>73</v>
      </c>
      <c r="G80" s="221">
        <f t="shared" si="16"/>
        <v>0</v>
      </c>
      <c r="H80" s="220">
        <f t="shared" si="17"/>
        <v>0</v>
      </c>
    </row>
    <row r="81" spans="2:10" ht="20" customHeight="1" x14ac:dyDescent="0.3">
      <c r="F81" s="208" t="s">
        <v>74</v>
      </c>
      <c r="G81" s="221">
        <f t="shared" si="16"/>
        <v>0</v>
      </c>
      <c r="H81" s="220">
        <f t="shared" si="17"/>
        <v>0</v>
      </c>
    </row>
    <row r="82" spans="2:10" ht="20" customHeight="1" x14ac:dyDescent="0.3">
      <c r="F82" s="208" t="s">
        <v>75</v>
      </c>
      <c r="G82" s="221">
        <f t="shared" si="16"/>
        <v>0</v>
      </c>
      <c r="H82" s="220">
        <f t="shared" si="17"/>
        <v>0</v>
      </c>
    </row>
    <row r="83" spans="2:10" ht="20" customHeight="1" x14ac:dyDescent="0.3">
      <c r="F83" s="208" t="s">
        <v>76</v>
      </c>
      <c r="G83" s="221">
        <f t="shared" si="16"/>
        <v>0</v>
      </c>
      <c r="H83" s="220">
        <f t="shared" si="17"/>
        <v>0</v>
      </c>
    </row>
    <row r="84" spans="2:10" ht="20" customHeight="1" x14ac:dyDescent="0.3">
      <c r="F84" s="208" t="s">
        <v>146</v>
      </c>
      <c r="G84" s="223">
        <f>+SUM(G78:G83)</f>
        <v>0</v>
      </c>
      <c r="H84" s="220">
        <f t="shared" si="17"/>
        <v>0</v>
      </c>
    </row>
    <row r="85" spans="2:10" ht="13.5" thickBot="1" x14ac:dyDescent="0.35"/>
    <row r="86" spans="2:10" ht="30" customHeight="1" thickBot="1" x14ac:dyDescent="0.35">
      <c r="B86" s="191"/>
      <c r="C86" s="446" t="s">
        <v>149</v>
      </c>
      <c r="D86" s="446"/>
      <c r="E86" s="192"/>
      <c r="F86" s="192"/>
      <c r="G86" s="192"/>
      <c r="H86" s="192"/>
      <c r="I86" s="216"/>
      <c r="J86" s="193"/>
    </row>
    <row r="87" spans="2:10" ht="25.25" customHeight="1" x14ac:dyDescent="0.3">
      <c r="C87" s="208" t="s">
        <v>150</v>
      </c>
      <c r="D87" s="195">
        <f>SUMPRODUCT((LEFT(G21:G33, 8)="Roboshot") / (COUNTIF(G21:G33, G21:G33 &amp; "") + (G21:G33="")))</f>
        <v>0</v>
      </c>
      <c r="E87" s="447" t="s">
        <v>90</v>
      </c>
      <c r="F87" s="447"/>
      <c r="G87" s="218">
        <v>0.20833333333333334</v>
      </c>
    </row>
    <row r="88" spans="2:10" x14ac:dyDescent="0.3">
      <c r="C88" s="208"/>
      <c r="D88" s="195"/>
      <c r="E88" s="447" t="s">
        <v>97</v>
      </c>
      <c r="F88" s="447"/>
      <c r="G88" s="195">
        <v>12</v>
      </c>
      <c r="H88" s="219" t="s">
        <v>23</v>
      </c>
    </row>
    <row r="90" spans="2:10" x14ac:dyDescent="0.3">
      <c r="G90" s="222" t="s">
        <v>96</v>
      </c>
      <c r="H90" s="139" t="s">
        <v>23</v>
      </c>
    </row>
    <row r="91" spans="2:10" x14ac:dyDescent="0.3">
      <c r="F91" s="208" t="s">
        <v>77</v>
      </c>
      <c r="G91" s="221">
        <f xml:space="preserve"> SUMIF($G$21:$G$33, +F91,$X$21:$X$33)</f>
        <v>0</v>
      </c>
      <c r="H91" s="220">
        <f>+G91/$G$88</f>
        <v>0</v>
      </c>
    </row>
    <row r="92" spans="2:10" x14ac:dyDescent="0.3">
      <c r="F92" s="208" t="s">
        <v>78</v>
      </c>
      <c r="G92" s="221">
        <f xml:space="preserve"> SUMIF($G$21:$G$33, +F92,$X$21:$X$33)</f>
        <v>0</v>
      </c>
      <c r="H92" s="220">
        <f t="shared" ref="H92:H93" si="18">+G92/$G$88</f>
        <v>0</v>
      </c>
    </row>
    <row r="93" spans="2:10" x14ac:dyDescent="0.3">
      <c r="F93" s="208" t="s">
        <v>79</v>
      </c>
      <c r="G93" s="221">
        <f xml:space="preserve"> SUMIF($G$21:$G$33, +F93,$X$21:$X$33)</f>
        <v>0</v>
      </c>
      <c r="H93" s="220">
        <f t="shared" si="18"/>
        <v>0</v>
      </c>
    </row>
    <row r="94" spans="2:10" x14ac:dyDescent="0.3">
      <c r="F94" s="208" t="s">
        <v>146</v>
      </c>
      <c r="G94" s="223">
        <f>+SUM(G91:G93)</f>
        <v>0</v>
      </c>
      <c r="H94" s="220">
        <f>+G94/$G$88</f>
        <v>0</v>
      </c>
    </row>
  </sheetData>
  <mergeCells count="41">
    <mergeCell ref="E88:F88"/>
    <mergeCell ref="C72:D72"/>
    <mergeCell ref="E73:F73"/>
    <mergeCell ref="E74:F74"/>
    <mergeCell ref="E75:F75"/>
    <mergeCell ref="E76:F76"/>
    <mergeCell ref="C86:D86"/>
    <mergeCell ref="C58:D58"/>
    <mergeCell ref="E59:F59"/>
    <mergeCell ref="E60:F60"/>
    <mergeCell ref="E61:F61"/>
    <mergeCell ref="E87:F87"/>
    <mergeCell ref="E62:F62"/>
    <mergeCell ref="E47:G47"/>
    <mergeCell ref="E48:G48"/>
    <mergeCell ref="E49:G49"/>
    <mergeCell ref="E50:G50"/>
    <mergeCell ref="E52:G52"/>
    <mergeCell ref="E53:G53"/>
    <mergeCell ref="E54:G54"/>
    <mergeCell ref="E46:G46"/>
    <mergeCell ref="K9:L9"/>
    <mergeCell ref="K10:L10"/>
    <mergeCell ref="K11:L11"/>
    <mergeCell ref="K12:L12"/>
    <mergeCell ref="B14:S14"/>
    <mergeCell ref="C38:D38"/>
    <mergeCell ref="G38:H38"/>
    <mergeCell ref="I38:J38"/>
    <mergeCell ref="K38:L38"/>
    <mergeCell ref="E39:F39"/>
    <mergeCell ref="E40:F40"/>
    <mergeCell ref="E41:F41"/>
    <mergeCell ref="E44:G44"/>
    <mergeCell ref="E45:G45"/>
    <mergeCell ref="K8:L8"/>
    <mergeCell ref="B1:D4"/>
    <mergeCell ref="E2:R2"/>
    <mergeCell ref="E3:R4"/>
    <mergeCell ref="K6:L6"/>
    <mergeCell ref="K7:L7"/>
  </mergeCells>
  <conditionalFormatting sqref="H40:H41 J40:J41">
    <cfRule type="cellIs" dxfId="188" priority="13" operator="greaterThan">
      <formula>0.9</formula>
    </cfRule>
    <cfRule type="cellIs" dxfId="187" priority="14" operator="between">
      <formula>0.81</formula>
      <formula>0.89</formula>
    </cfRule>
    <cfRule type="cellIs" dxfId="186" priority="15" operator="lessThan">
      <formula>0.8</formula>
    </cfRule>
  </conditionalFormatting>
  <conditionalFormatting sqref="H61:H62">
    <cfRule type="cellIs" dxfId="185" priority="16" operator="greaterThan">
      <formula>0.9</formula>
    </cfRule>
    <cfRule type="cellIs" dxfId="184" priority="17" operator="between">
      <formula>0.81</formula>
      <formula>0.89</formula>
    </cfRule>
    <cfRule type="cellIs" dxfId="183" priority="18" operator="lessThan">
      <formula>0.8</formula>
    </cfRule>
  </conditionalFormatting>
  <conditionalFormatting sqref="H64:H70">
    <cfRule type="cellIs" dxfId="182" priority="19" operator="greaterThan">
      <formula>0.9</formula>
    </cfRule>
    <cfRule type="cellIs" dxfId="181" priority="20" operator="between">
      <formula>0.81</formula>
      <formula>0.89</formula>
    </cfRule>
    <cfRule type="cellIs" dxfId="180" priority="21" operator="lessThan">
      <formula>0.8</formula>
    </cfRule>
  </conditionalFormatting>
  <conditionalFormatting sqref="H75:H76">
    <cfRule type="cellIs" dxfId="179" priority="7" operator="greaterThan">
      <formula>0.9</formula>
    </cfRule>
    <cfRule type="cellIs" dxfId="178" priority="8" operator="between">
      <formula>0.81</formula>
      <formula>0.89</formula>
    </cfRule>
    <cfRule type="cellIs" dxfId="177" priority="9" operator="lessThan">
      <formula>0.8</formula>
    </cfRule>
  </conditionalFormatting>
  <conditionalFormatting sqref="H78:H84">
    <cfRule type="cellIs" dxfId="176" priority="10" operator="greaterThan">
      <formula>0.9</formula>
    </cfRule>
    <cfRule type="cellIs" dxfId="175" priority="11" operator="between">
      <formula>0.81</formula>
      <formula>0.89</formula>
    </cfRule>
    <cfRule type="cellIs" dxfId="174" priority="12" operator="lessThan">
      <formula>0.8</formula>
    </cfRule>
  </conditionalFormatting>
  <conditionalFormatting sqref="H91:H94">
    <cfRule type="cellIs" dxfId="173" priority="4" operator="greaterThan">
      <formula>0.9</formula>
    </cfRule>
    <cfRule type="cellIs" dxfId="172" priority="5" operator="between">
      <formula>0.81</formula>
      <formula>0.89</formula>
    </cfRule>
    <cfRule type="cellIs" dxfId="171" priority="6" operator="lessThan">
      <formula>0.8</formula>
    </cfRule>
  </conditionalFormatting>
  <conditionalFormatting sqref="L40:L41">
    <cfRule type="cellIs" dxfId="170" priority="1" operator="greaterThan">
      <formula>0.9</formula>
    </cfRule>
    <cfRule type="cellIs" dxfId="169" priority="2" operator="between">
      <formula>0.81</formula>
      <formula>0.89</formula>
    </cfRule>
    <cfRule type="cellIs" dxfId="168" priority="3" operator="lessThan">
      <formula>0.8</formula>
    </cfRule>
  </conditionalFormatting>
  <pageMargins left="0.25" right="0.25" top="0.75" bottom="0.75" header="0.3" footer="0.3"/>
  <pageSetup scale="3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78789F6A-2947-48FF-9F1B-776F60A9C046}">
          <x14:formula1>
            <xm:f>Datos!$B$3:$B$8</xm:f>
          </x14:formula1>
          <xm:sqref>E28:E36 E21:E25</xm:sqref>
        </x14:dataValidation>
        <x14:dataValidation type="list" allowBlank="1" showInputMessage="1" showErrorMessage="1" xr:uid="{1A73E682-C58B-45EF-8A47-C50A5CA8273A}">
          <x14:formula1>
            <xm:f>Datos!$D$3:$D$27</xm:f>
          </x14:formula1>
          <xm:sqref>F28:F36 F21:F25</xm:sqref>
        </x14:dataValidation>
        <x14:dataValidation type="list" allowBlank="1" showInputMessage="1" showErrorMessage="1" xr:uid="{4048EBAC-3311-444A-A3C4-192EA9C77089}">
          <x14:formula1>
            <xm:f>Datos!$W$3:$W$12</xm:f>
          </x14:formula1>
          <xm:sqref>L28:L36 L21:L25</xm:sqref>
        </x14:dataValidation>
        <x14:dataValidation type="list" allowBlank="1" showInputMessage="1" showErrorMessage="1" xr:uid="{54640D55-6755-4F4F-97F8-21E655A6ECB2}">
          <x14:formula1>
            <xm:f>Datos!$F$3:$F$41</xm:f>
          </x14:formula1>
          <xm:sqref>G28:G36 G21:G25</xm:sqref>
        </x14:dataValidation>
        <x14:dataValidation type="list" allowBlank="1" showInputMessage="1" showErrorMessage="1" xr:uid="{8439DC13-BE4B-469B-87BE-2C9591F13029}">
          <x14:formula1>
            <xm:f>Datos!$H$3:$H$26</xm:f>
          </x14:formula1>
          <xm:sqref>D25 D36</xm:sqref>
        </x14:dataValidation>
        <x14:dataValidation type="list" allowBlank="1" showInputMessage="1" showErrorMessage="1" xr:uid="{6C434C2D-1F75-43A0-A8A9-2092E5AFF7EE}">
          <x14:formula1>
            <xm:f>Datos!$H$3:$H$34</xm:f>
          </x14:formula1>
          <xm:sqref>D28:D35 D21:D24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A925-A797-463A-8168-6347A155559E}">
  <sheetPr>
    <pageSetUpPr fitToPage="1"/>
  </sheetPr>
  <dimension ref="B1:X96"/>
  <sheetViews>
    <sheetView showGridLines="0" topLeftCell="A19" zoomScaleNormal="10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I26" sqref="I26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0.5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0.25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+G72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+G86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+G96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172</v>
      </c>
      <c r="E21" s="172" t="s">
        <v>6</v>
      </c>
      <c r="F21" s="172" t="s">
        <v>163</v>
      </c>
      <c r="G21" s="172"/>
      <c r="H21" s="174">
        <v>0.35416666666666669</v>
      </c>
      <c r="I21" s="174">
        <v>0.39583333333333331</v>
      </c>
      <c r="J21" s="175">
        <f>I21-H21</f>
        <v>4.166666666666663E-2</v>
      </c>
      <c r="K21" s="178"/>
      <c r="L21" s="177"/>
      <c r="M21" s="178"/>
      <c r="N21" s="179">
        <v>1</v>
      </c>
      <c r="O21" s="186" t="s">
        <v>501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52.75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51</v>
      </c>
      <c r="E22" s="172" t="s">
        <v>6</v>
      </c>
      <c r="F22" s="172" t="s">
        <v>163</v>
      </c>
      <c r="G22" s="172" t="s">
        <v>211</v>
      </c>
      <c r="H22" s="174">
        <v>0.40972222222222221</v>
      </c>
      <c r="I22" s="174">
        <v>0.74305555555555558</v>
      </c>
      <c r="J22" s="175">
        <f>I22-H22</f>
        <v>0.33333333333333337</v>
      </c>
      <c r="K22" s="178"/>
      <c r="L22" s="177"/>
      <c r="M22" s="178"/>
      <c r="N22" s="179">
        <v>0</v>
      </c>
      <c r="O22" s="186" t="s">
        <v>502</v>
      </c>
      <c r="P22" s="181"/>
      <c r="Q22" s="174"/>
      <c r="R22" s="172"/>
      <c r="S22" s="175">
        <f t="shared" ref="S22:S27" si="0">+MOD(R22-Q22,1)</f>
        <v>0</v>
      </c>
      <c r="U22" s="182">
        <f>+IFERROR(VLOOKUP(D22,Datos!$R$3:$T$19,3,FALSE), "0")*N22</f>
        <v>0</v>
      </c>
      <c r="V22" s="183" t="str">
        <f t="shared" ref="V22:V27" si="1">IF(OR(D22="Perforación de Fortificación", D22="Perforación de Avance", D22="Perforación Desquinche"), K22*M22, "")</f>
        <v/>
      </c>
      <c r="W22" s="183" t="str">
        <f t="shared" ref="W22:W27" si="2">IF(D22="Extracción de Marina Disparo",K22,"")</f>
        <v/>
      </c>
      <c r="X22" s="183" t="str">
        <f t="shared" ref="X22:X27" si="3">IF(OR(D22="Shotcrete", D22="Pre Shotcrete"), K22, "")</f>
        <v/>
      </c>
    </row>
    <row r="23" spans="2:24" ht="42.65" customHeight="1" x14ac:dyDescent="0.3">
      <c r="B23" s="172">
        <v>3500</v>
      </c>
      <c r="C23" s="173" t="s">
        <v>496</v>
      </c>
      <c r="D23" s="173" t="s">
        <v>114</v>
      </c>
      <c r="E23" s="172" t="s">
        <v>6</v>
      </c>
      <c r="F23" s="172" t="s">
        <v>163</v>
      </c>
      <c r="G23" s="172" t="s">
        <v>211</v>
      </c>
      <c r="H23" s="174">
        <v>0.4375</v>
      </c>
      <c r="I23" s="174">
        <v>0.53125</v>
      </c>
      <c r="J23" s="175">
        <f>I23-H23</f>
        <v>9.375E-2</v>
      </c>
      <c r="K23" s="178"/>
      <c r="L23" s="177"/>
      <c r="M23" s="178"/>
      <c r="N23" s="179">
        <v>0</v>
      </c>
      <c r="O23" s="186" t="s">
        <v>508</v>
      </c>
      <c r="P23" s="181"/>
      <c r="Q23" s="174"/>
      <c r="R23" s="172"/>
      <c r="S23" s="175">
        <f t="shared" si="0"/>
        <v>0</v>
      </c>
      <c r="U23" s="182">
        <f>+IFERROR(VLOOKUP(D23,Datos!$R$3:$T$19,3,FALSE), "0")*N23</f>
        <v>0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55.75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105</v>
      </c>
      <c r="E24" s="172" t="s">
        <v>6</v>
      </c>
      <c r="F24" s="172" t="s">
        <v>163</v>
      </c>
      <c r="G24" s="172" t="s">
        <v>206</v>
      </c>
      <c r="H24" s="174">
        <v>0.60416666666666663</v>
      </c>
      <c r="I24" s="174">
        <v>0.63541666666666663</v>
      </c>
      <c r="J24" s="175">
        <f>I24-H24</f>
        <v>3.125E-2</v>
      </c>
      <c r="K24" s="178">
        <v>10</v>
      </c>
      <c r="L24" s="177" t="s">
        <v>128</v>
      </c>
      <c r="M24" s="178"/>
      <c r="N24" s="179">
        <v>0</v>
      </c>
      <c r="O24" s="186" t="s">
        <v>509</v>
      </c>
      <c r="P24" s="181"/>
      <c r="Q24" s="174"/>
      <c r="R24" s="174"/>
      <c r="S24" s="175"/>
      <c r="U24" s="182">
        <f>+IFERROR(VLOOKUP(D24,Datos!$R$3:$T$19,3,FALSE), "0")*N24</f>
        <v>0</v>
      </c>
      <c r="V24" s="183"/>
      <c r="W24" s="183"/>
      <c r="X24" s="183"/>
    </row>
    <row r="25" spans="2:24" ht="38" customHeight="1" x14ac:dyDescent="0.3">
      <c r="B25" s="172"/>
      <c r="C25" s="173" t="s">
        <v>510</v>
      </c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186"/>
      <c r="P25" s="181"/>
      <c r="Q25" s="174"/>
      <c r="R25" s="174"/>
      <c r="S25" s="175"/>
      <c r="U25" s="182">
        <f>+IFERROR(VLOOKUP(D25,Datos!$R$3:$T$19,3,FALSE), "0")*N25</f>
        <v>0</v>
      </c>
      <c r="V25" s="183"/>
      <c r="W25" s="183"/>
      <c r="X25" s="183"/>
    </row>
    <row r="26" spans="2:24" ht="37.75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/>
      <c r="K26" s="178"/>
      <c r="L26" s="177"/>
      <c r="M26" s="178"/>
      <c r="N26" s="179"/>
      <c r="O26" s="186"/>
      <c r="P26" s="181"/>
      <c r="Q26" s="174"/>
      <c r="R26" s="174"/>
      <c r="S26" s="175"/>
      <c r="U26" s="182"/>
      <c r="V26" s="183" t="str">
        <f t="shared" si="1"/>
        <v/>
      </c>
      <c r="W26" s="183" t="str">
        <f t="shared" si="2"/>
        <v/>
      </c>
      <c r="X26" s="183" t="str">
        <f t="shared" si="3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MOD(I24-H21, 1)</f>
        <v>0.28124999999999994</v>
      </c>
      <c r="K27" s="178"/>
      <c r="L27" s="177"/>
      <c r="M27" s="178"/>
      <c r="N27" s="179"/>
      <c r="O27" s="186" t="s">
        <v>436</v>
      </c>
      <c r="P27" s="172"/>
      <c r="Q27" s="172"/>
      <c r="R27" s="172"/>
      <c r="S27" s="175">
        <f t="shared" si="0"/>
        <v>0</v>
      </c>
      <c r="U27" s="182">
        <f>SUM(U21:U26)</f>
        <v>0</v>
      </c>
      <c r="V27" s="183" t="str">
        <f t="shared" si="1"/>
        <v/>
      </c>
      <c r="W27" s="183" t="str">
        <f t="shared" si="2"/>
        <v/>
      </c>
      <c r="X27" s="183" t="str">
        <f t="shared" si="3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 t="s">
        <v>110</v>
      </c>
      <c r="E30" s="172" t="s">
        <v>6</v>
      </c>
      <c r="F30" s="172" t="s">
        <v>164</v>
      </c>
      <c r="G30" s="172"/>
      <c r="H30" s="174">
        <v>0.33333333333333331</v>
      </c>
      <c r="I30" s="174">
        <v>0.83333333333333337</v>
      </c>
      <c r="J30" s="175">
        <f>I30-H30</f>
        <v>0.5</v>
      </c>
      <c r="K30" s="178"/>
      <c r="L30" s="177"/>
      <c r="M30" s="178"/>
      <c r="N30" s="179">
        <v>1</v>
      </c>
      <c r="O30" s="186" t="s">
        <v>428</v>
      </c>
      <c r="P30" s="225"/>
      <c r="Q30" s="174"/>
      <c r="R30" s="174"/>
      <c r="S30" s="175"/>
      <c r="U30" s="187">
        <f>+IFERROR(VLOOKUP(D30,Datos!$R$24:$T$40,3,FALSE), "0")*N30</f>
        <v>0</v>
      </c>
      <c r="V30" s="183" t="str">
        <f t="shared" ref="V30:V38" si="4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8" si="5">IF(OR(D30="Shotcrete", D30="Pre Shotcrete"), K30, "")</f>
        <v/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73"/>
      <c r="Q31" s="174"/>
      <c r="R31" s="174"/>
      <c r="S31" s="175"/>
      <c r="U31" s="187">
        <f>+IFERROR(VLOOKUP(D31,Datos!$R$24:$T$40,3,FALSE), "0")*N31</f>
        <v>0</v>
      </c>
      <c r="V31" s="183" t="str">
        <f t="shared" si="4"/>
        <v/>
      </c>
      <c r="W31" s="183" t="str">
        <f>IF(D31="Extracción de Marina Disparo",K31,"")</f>
        <v/>
      </c>
      <c r="X31" s="183" t="str">
        <f t="shared" si="5"/>
        <v/>
      </c>
    </row>
    <row r="32" spans="2:24" ht="53.4" customHeight="1" x14ac:dyDescent="0.3">
      <c r="B32" s="172">
        <v>3700</v>
      </c>
      <c r="C32" s="173" t="str">
        <f>+C30</f>
        <v>Ciclo Minero 5,2 x 5,6 m
Galería Acceso Portal de Servicio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225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4"/>
        <v/>
      </c>
      <c r="W32" s="183" t="str">
        <f t="shared" ref="W32:W38" si="6">IF(D32="Extracción de Marina Disparo",K32,"")</f>
        <v/>
      </c>
      <c r="X32" s="183" t="str">
        <f t="shared" si="5"/>
        <v/>
      </c>
    </row>
    <row r="33" spans="2:24" ht="38" customHeight="1" x14ac:dyDescent="0.3">
      <c r="B33" s="172">
        <v>3700</v>
      </c>
      <c r="C33" s="173" t="s">
        <v>397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72"/>
      <c r="Q33" s="172"/>
      <c r="R33" s="172"/>
      <c r="S33" s="175"/>
      <c r="U33" s="187">
        <f>+IFERROR(VLOOKUP(D33,Datos!$R$24:$T$40,3,FALSE), "0")*N33</f>
        <v>0</v>
      </c>
      <c r="V33" s="183" t="str">
        <f t="shared" si="4"/>
        <v/>
      </c>
      <c r="W33" s="183" t="str">
        <f t="shared" si="6"/>
        <v/>
      </c>
      <c r="X33" s="183"/>
    </row>
    <row r="34" spans="2:24" ht="38" customHeight="1" x14ac:dyDescent="0.3">
      <c r="B34" s="172">
        <v>3700</v>
      </c>
      <c r="C34" s="173" t="str">
        <f>+C33</f>
        <v>Fróntón Bodega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6"/>
      <c r="P34" s="181"/>
      <c r="Q34" s="174"/>
      <c r="R34" s="174"/>
      <c r="S34" s="175"/>
      <c r="U34" s="187">
        <f>+IFERROR(VLOOKUP(D34,Datos!$R$24:$T$40,3,FALSE), "0")*N34</f>
        <v>0</v>
      </c>
      <c r="V34" s="183" t="str">
        <f t="shared" si="4"/>
        <v/>
      </c>
      <c r="W34" s="183" t="str">
        <f t="shared" si="6"/>
        <v/>
      </c>
      <c r="X34" s="183" t="str">
        <f t="shared" si="5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225"/>
      <c r="P35" s="172"/>
      <c r="Q35" s="172"/>
      <c r="R35" s="172"/>
      <c r="S35" s="175">
        <f t="shared" ref="S35:S38" si="7">+MOD(R35-Q35,1)</f>
        <v>0</v>
      </c>
      <c r="U35" s="187">
        <f>+IFERROR(VLOOKUP(D35,Datos!$R$24:$T$40,3,FALSE), "0")*N35</f>
        <v>0</v>
      </c>
      <c r="V35" s="183" t="str">
        <f t="shared" si="4"/>
        <v/>
      </c>
      <c r="W35" s="183" t="str">
        <f t="shared" si="6"/>
        <v/>
      </c>
      <c r="X35" s="183" t="str">
        <f t="shared" si="5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7"/>
        <v>0</v>
      </c>
      <c r="U36" s="187"/>
      <c r="V36" s="183" t="str">
        <f t="shared" si="4"/>
        <v/>
      </c>
      <c r="W36" s="183" t="str">
        <f t="shared" si="6"/>
        <v/>
      </c>
      <c r="X36" s="183" t="str">
        <f t="shared" si="5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7"/>
        <v>0</v>
      </c>
      <c r="U37" s="187"/>
      <c r="V37" s="183" t="str">
        <f t="shared" si="4"/>
        <v/>
      </c>
      <c r="W37" s="183" t="str">
        <f t="shared" si="6"/>
        <v/>
      </c>
      <c r="X37" s="183" t="str">
        <f t="shared" si="5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 t="s">
        <v>329</v>
      </c>
      <c r="J38" s="175">
        <v>0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7"/>
        <v>0</v>
      </c>
      <c r="U38" s="182">
        <f>SUM(U30:U37)</f>
        <v>0</v>
      </c>
      <c r="V38" s="183" t="str">
        <f t="shared" si="4"/>
        <v/>
      </c>
      <c r="W38" s="183" t="str">
        <f t="shared" si="6"/>
        <v/>
      </c>
      <c r="X38" s="183" t="str">
        <f t="shared" si="5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SUMPRODUCT((LEFT(F21:F35, 1)="C") / (COUNTIF(F21:F35, F21:F35 &amp; "") + (F21:F35="")))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SUMPRODUCT((LEFT(F21:F35, 1)="O") / (COUNTIF(F21:F35, F21:F35 &amp; "") + (F21:F35="")))</f>
        <v>0</v>
      </c>
      <c r="E42" s="448" t="s">
        <v>198</v>
      </c>
      <c r="F42" s="448"/>
      <c r="G42" s="199">
        <f>SUM(J21:J26)</f>
        <v>0.5</v>
      </c>
      <c r="H42" s="200">
        <f>+G42*24/($G$41*24)</f>
        <v>1.92</v>
      </c>
      <c r="I42" s="199">
        <f>SUM(J30:J35)</f>
        <v>0.5</v>
      </c>
      <c r="J42" s="200">
        <f>+I42*24/($I$41*24)</f>
        <v>1.92</v>
      </c>
      <c r="K42" s="201">
        <f>AVERAGE(G42+I42)/2</f>
        <v>0.5</v>
      </c>
      <c r="L42" s="200">
        <f>+K42*24/($K$41*24)</f>
        <v>1.92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+AVERAGE(N21:N27)</f>
        <v>0.25</v>
      </c>
      <c r="I43" s="202"/>
      <c r="J43" s="203">
        <f>+AVERAGE(N30:N35)</f>
        <v>1</v>
      </c>
      <c r="K43" s="204"/>
      <c r="L43" s="203">
        <f>+AVERAGE(N21:N35)</f>
        <v>0.4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404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+U38</f>
        <v>0</v>
      </c>
      <c r="I46" s="298">
        <f>+H46*$J$46*$K$46</f>
        <v>0</v>
      </c>
      <c r="J46" s="298">
        <v>6.6</v>
      </c>
      <c r="K46" s="246">
        <v>3.42</v>
      </c>
      <c r="L46" s="344">
        <v>56.080975609756102</v>
      </c>
      <c r="M46" s="344">
        <f>+L46*K46*H46</f>
        <v>0</v>
      </c>
    </row>
    <row r="47" spans="2:24" ht="14.4" customHeight="1" x14ac:dyDescent="0.35">
      <c r="E47" s="445" t="s">
        <v>224</v>
      </c>
      <c r="F47" s="445"/>
      <c r="G47" s="445"/>
      <c r="H47" s="209"/>
      <c r="I47" s="298">
        <f>+J47*K47</f>
        <v>0</v>
      </c>
      <c r="J47" s="298">
        <f>1892/1000000</f>
        <v>1.892E-3</v>
      </c>
      <c r="K47" s="246">
        <f>+((15*4.4)*2.72)*0</f>
        <v>0</v>
      </c>
      <c r="L47" s="346">
        <v>1.6919982016368774E-2</v>
      </c>
      <c r="M47" s="344">
        <f>+L47*K47</f>
        <v>0</v>
      </c>
    </row>
    <row r="48" spans="2:24" ht="14.4" customHeight="1" x14ac:dyDescent="0.35">
      <c r="E48" s="445" t="s">
        <v>359</v>
      </c>
      <c r="F48" s="445"/>
      <c r="G48" s="445"/>
      <c r="H48" s="209"/>
      <c r="I48" s="298">
        <f>+J48*K48</f>
        <v>0</v>
      </c>
      <c r="J48" s="298">
        <v>0.340368</v>
      </c>
      <c r="K48" s="246">
        <v>0</v>
      </c>
      <c r="L48" s="346">
        <v>2.2358937544867188</v>
      </c>
      <c r="M48" s="344">
        <f>+L48*K48</f>
        <v>0</v>
      </c>
    </row>
    <row r="49" spans="2:13" ht="14.4" customHeight="1" x14ac:dyDescent="0.35">
      <c r="E49" s="445" t="s">
        <v>376</v>
      </c>
      <c r="F49" s="445"/>
      <c r="G49" s="445"/>
      <c r="H49" s="209">
        <v>0</v>
      </c>
      <c r="I49" s="298">
        <f>+H49*$J$49*$K$49</f>
        <v>0</v>
      </c>
      <c r="J49" s="298">
        <f>23683234/1000000</f>
        <v>23.683233999999999</v>
      </c>
      <c r="K49" s="226">
        <v>0</v>
      </c>
      <c r="L49" s="346">
        <v>254.98967741935485</v>
      </c>
      <c r="M49" s="344">
        <f>+L49*K49*H49</f>
        <v>0</v>
      </c>
    </row>
    <row r="50" spans="2:13" ht="14.4" customHeight="1" x14ac:dyDescent="0.35">
      <c r="E50" s="445" t="s">
        <v>236</v>
      </c>
      <c r="F50" s="445"/>
      <c r="G50" s="445"/>
      <c r="H50" s="209"/>
      <c r="I50" s="298">
        <f>+J50*K50</f>
        <v>0</v>
      </c>
      <c r="J50" s="298">
        <f>25508/1000000</f>
        <v>2.5507999999999999E-2</v>
      </c>
      <c r="K50" s="246">
        <f>7/(0.05)*0</f>
        <v>0</v>
      </c>
      <c r="L50" s="347" t="s">
        <v>486</v>
      </c>
      <c r="M50" s="349"/>
    </row>
    <row r="51" spans="2:13" ht="14.4" customHeight="1" x14ac:dyDescent="0.35">
      <c r="E51" s="445" t="s">
        <v>451</v>
      </c>
      <c r="F51" s="445"/>
      <c r="G51" s="445"/>
      <c r="H51" s="209">
        <v>1</v>
      </c>
      <c r="I51" s="298">
        <f>H51*J51</f>
        <v>7.9892054999999997</v>
      </c>
      <c r="J51" s="298">
        <f>15978411/2000000</f>
        <v>7.9892054999999997</v>
      </c>
      <c r="K51" s="246"/>
      <c r="L51" s="347" t="s">
        <v>486</v>
      </c>
      <c r="M51" s="344"/>
    </row>
    <row r="52" spans="2:13" ht="14.4" customHeight="1" x14ac:dyDescent="0.35">
      <c r="E52" s="445" t="s">
        <v>298</v>
      </c>
      <c r="F52" s="445"/>
      <c r="G52" s="445"/>
      <c r="H52" s="209"/>
      <c r="I52" s="210">
        <f>SUM(I46:I51)</f>
        <v>7.9892054999999997</v>
      </c>
      <c r="J52" s="214"/>
      <c r="K52" s="246"/>
      <c r="L52" s="344"/>
      <c r="M52" s="344"/>
    </row>
    <row r="53" spans="2:13" ht="14.4" customHeight="1" x14ac:dyDescent="0.35">
      <c r="E53" s="227"/>
      <c r="F53" s="227"/>
      <c r="G53" s="227"/>
      <c r="H53" s="209"/>
      <c r="I53" s="210"/>
      <c r="J53" s="214"/>
      <c r="K53" s="246"/>
      <c r="L53" s="344"/>
      <c r="M53" s="344"/>
    </row>
    <row r="54" spans="2:13" ht="14.4" customHeight="1" x14ac:dyDescent="0.35">
      <c r="E54" s="445" t="s">
        <v>175</v>
      </c>
      <c r="F54" s="445"/>
      <c r="G54" s="445"/>
      <c r="H54" s="209">
        <f>+U27</f>
        <v>0</v>
      </c>
      <c r="I54" s="210">
        <f>+H54*$J$54*$K$54</f>
        <v>0</v>
      </c>
      <c r="J54" s="211">
        <v>11.8</v>
      </c>
      <c r="K54" s="246">
        <v>4</v>
      </c>
      <c r="L54" s="344">
        <v>118.52055555555555</v>
      </c>
      <c r="M54" s="344">
        <f>+L54*K54*H54</f>
        <v>0</v>
      </c>
    </row>
    <row r="55" spans="2:13" ht="14.4" customHeight="1" x14ac:dyDescent="0.35">
      <c r="E55" s="445" t="s">
        <v>225</v>
      </c>
      <c r="F55" s="445"/>
      <c r="G55" s="445"/>
      <c r="H55" s="209"/>
      <c r="I55" s="210">
        <f>+J55*K55</f>
        <v>0</v>
      </c>
      <c r="J55" s="296">
        <f>+J47*0</f>
        <v>0</v>
      </c>
      <c r="K55" s="215">
        <f>+((15*2.8)*2.72)*K26</f>
        <v>0</v>
      </c>
      <c r="L55" s="346">
        <v>1.6919982016368774E-2</v>
      </c>
      <c r="M55" s="344">
        <f>+L55*K55</f>
        <v>0</v>
      </c>
    </row>
    <row r="56" spans="2:13" ht="14.4" customHeight="1" x14ac:dyDescent="0.35">
      <c r="E56" s="445" t="s">
        <v>297</v>
      </c>
      <c r="F56" s="445"/>
      <c r="G56" s="445"/>
      <c r="H56" s="209"/>
      <c r="I56" s="210">
        <f>SUM(I54:I55)</f>
        <v>0</v>
      </c>
      <c r="J56" s="214"/>
      <c r="K56" s="246"/>
      <c r="L56" s="347"/>
      <c r="M56" s="349"/>
    </row>
    <row r="57" spans="2:13" ht="14.4" customHeight="1" x14ac:dyDescent="0.3">
      <c r="E57" s="227"/>
      <c r="F57" s="227"/>
      <c r="G57" s="227"/>
      <c r="H57" s="209"/>
      <c r="I57" s="210"/>
      <c r="J57" s="214"/>
      <c r="K57" s="246"/>
      <c r="L57" s="213"/>
      <c r="M57" s="352">
        <f>SUM(M46:M56)</f>
        <v>0</v>
      </c>
    </row>
    <row r="58" spans="2:13" ht="14.4" customHeight="1" x14ac:dyDescent="0.3">
      <c r="L58" s="213"/>
    </row>
    <row r="59" spans="2:13" ht="7.75" customHeight="1" thickBot="1" x14ac:dyDescent="0.35"/>
    <row r="60" spans="2:13" ht="30" customHeight="1" thickBot="1" x14ac:dyDescent="0.35">
      <c r="B60" s="191"/>
      <c r="C60" s="446" t="s">
        <v>88</v>
      </c>
      <c r="D60" s="446"/>
      <c r="E60" s="192"/>
      <c r="F60" s="192"/>
      <c r="G60" s="192"/>
      <c r="H60" s="192"/>
      <c r="I60" s="216"/>
      <c r="J60" s="193"/>
    </row>
    <row r="61" spans="2:13" ht="38" customHeight="1" x14ac:dyDescent="0.3">
      <c r="C61" s="217" t="s">
        <v>89</v>
      </c>
      <c r="D61" s="195">
        <f>SUMPRODUCT((LEFT(G21:G35, 5)="Jumbo") / (COUNTIF(G21:G35, G21:G35 &amp; "") + (G21:G35="")))</f>
        <v>0</v>
      </c>
      <c r="E61" s="447" t="s">
        <v>90</v>
      </c>
      <c r="F61" s="447"/>
      <c r="G61" s="218">
        <v>0.20833333333333334</v>
      </c>
      <c r="I61" s="139"/>
      <c r="J61" s="190"/>
    </row>
    <row r="62" spans="2:13" ht="38" customHeight="1" x14ac:dyDescent="0.3">
      <c r="E62" s="447" t="s">
        <v>93</v>
      </c>
      <c r="F62" s="447"/>
      <c r="G62" s="195">
        <f>15000/(60)</f>
        <v>250</v>
      </c>
      <c r="H62" s="219" t="s">
        <v>143</v>
      </c>
      <c r="I62" s="139"/>
      <c r="J62" s="190"/>
    </row>
    <row r="63" spans="2:13" ht="38" customHeight="1" x14ac:dyDescent="0.3">
      <c r="E63" s="448" t="s">
        <v>91</v>
      </c>
      <c r="F63" s="448"/>
      <c r="G63" s="207" t="e">
        <f>+SUM(SUMIF($G$21:$G$35, "Jumbo*", $J$21:$J$35))/SUMPRODUCT((LEFT(G21:G35, 5)="Jumbo") / (COUNTIF(G21:G35, G21:G35 &amp; "") + (G21:G35="")))</f>
        <v>#DIV/0!</v>
      </c>
      <c r="H63" s="220" t="e">
        <f>+G63*24/($G$61*24)</f>
        <v>#DIV/0!</v>
      </c>
      <c r="I63" s="190"/>
      <c r="J63" s="190"/>
    </row>
    <row r="64" spans="2:13" ht="38" customHeight="1" x14ac:dyDescent="0.3">
      <c r="E64" s="448" t="s">
        <v>92</v>
      </c>
      <c r="F64" s="448"/>
      <c r="G64" s="221" t="e">
        <f>+SUM(V21:V35)/D61</f>
        <v>#DIV/0!</v>
      </c>
      <c r="H64" s="220" t="e">
        <f>+G64/G62</f>
        <v>#DIV/0!</v>
      </c>
      <c r="I64" s="190"/>
      <c r="J64" s="190"/>
    </row>
    <row r="65" spans="2:10" ht="38" customHeight="1" x14ac:dyDescent="0.3">
      <c r="G65" s="222" t="s">
        <v>87</v>
      </c>
      <c r="H65" s="139" t="s">
        <v>23</v>
      </c>
    </row>
    <row r="66" spans="2:10" ht="20" customHeight="1" x14ac:dyDescent="0.3">
      <c r="F66" s="208" t="s">
        <v>65</v>
      </c>
      <c r="G66" s="221">
        <f t="shared" ref="G66:G71" si="8" xml:space="preserve"> SUMIF($G$21:$G$35, +F66,$V$21:$V$35)</f>
        <v>0</v>
      </c>
      <c r="H66" s="220">
        <f t="shared" ref="H66:H71" si="9">+G66/$G$62</f>
        <v>0</v>
      </c>
    </row>
    <row r="67" spans="2:10" ht="20" customHeight="1" x14ac:dyDescent="0.3">
      <c r="F67" s="208" t="s">
        <v>66</v>
      </c>
      <c r="G67" s="221">
        <f t="shared" si="8"/>
        <v>0</v>
      </c>
      <c r="H67" s="220">
        <f t="shared" si="9"/>
        <v>0</v>
      </c>
    </row>
    <row r="68" spans="2:10" ht="20" customHeight="1" x14ac:dyDescent="0.3">
      <c r="F68" s="208" t="s">
        <v>67</v>
      </c>
      <c r="G68" s="221">
        <f t="shared" si="8"/>
        <v>0</v>
      </c>
      <c r="H68" s="220">
        <f t="shared" si="9"/>
        <v>0</v>
      </c>
    </row>
    <row r="69" spans="2:10" ht="20" customHeight="1" x14ac:dyDescent="0.3">
      <c r="F69" s="208" t="s">
        <v>68</v>
      </c>
      <c r="G69" s="221">
        <f t="shared" si="8"/>
        <v>0</v>
      </c>
      <c r="H69" s="220">
        <f t="shared" si="9"/>
        <v>0</v>
      </c>
    </row>
    <row r="70" spans="2:10" ht="20" customHeight="1" x14ac:dyDescent="0.3">
      <c r="F70" s="208" t="s">
        <v>69</v>
      </c>
      <c r="G70" s="221">
        <f t="shared" si="8"/>
        <v>0</v>
      </c>
      <c r="H70" s="220">
        <f t="shared" si="9"/>
        <v>0</v>
      </c>
    </row>
    <row r="71" spans="2:10" ht="20" customHeight="1" x14ac:dyDescent="0.3">
      <c r="F71" s="208" t="s">
        <v>70</v>
      </c>
      <c r="G71" s="221">
        <f t="shared" si="8"/>
        <v>0</v>
      </c>
      <c r="H71" s="220">
        <f t="shared" si="9"/>
        <v>0</v>
      </c>
    </row>
    <row r="72" spans="2:10" ht="20" customHeight="1" x14ac:dyDescent="0.3">
      <c r="F72" s="208" t="s">
        <v>146</v>
      </c>
      <c r="G72" s="223">
        <f>+SUM(G66:G71)</f>
        <v>0</v>
      </c>
      <c r="H72" s="220" t="e">
        <f>+G72/($G$62*$D$61)</f>
        <v>#DIV/0!</v>
      </c>
    </row>
    <row r="73" spans="2:10" ht="13.5" thickBot="1" x14ac:dyDescent="0.35"/>
    <row r="74" spans="2:10" ht="30" customHeight="1" thickBot="1" x14ac:dyDescent="0.35">
      <c r="B74" s="191"/>
      <c r="C74" s="446" t="s">
        <v>107</v>
      </c>
      <c r="D74" s="446"/>
      <c r="E74" s="192"/>
      <c r="F74" s="192"/>
      <c r="G74" s="192"/>
      <c r="H74" s="192"/>
      <c r="I74" s="216"/>
      <c r="J74" s="193"/>
    </row>
    <row r="75" spans="2:10" ht="38" customHeight="1" x14ac:dyDescent="0.3">
      <c r="C75" s="208" t="s">
        <v>95</v>
      </c>
      <c r="D75" s="195">
        <f>SUMPRODUCT((LEFT(G21:G35, 5)="Scoop") / (COUNTIF(G21:G35, G21:G35 &amp; "") + (G21:G35="")))</f>
        <v>0</v>
      </c>
      <c r="E75" s="447" t="s">
        <v>90</v>
      </c>
      <c r="F75" s="447"/>
      <c r="G75" s="218">
        <v>0.20833333333333334</v>
      </c>
      <c r="I75" s="139"/>
      <c r="J75" s="190"/>
    </row>
    <row r="76" spans="2:10" ht="38" customHeight="1" x14ac:dyDescent="0.3">
      <c r="C76" s="208" t="s">
        <v>145</v>
      </c>
      <c r="D76" s="195">
        <v>4.9000000000000004</v>
      </c>
      <c r="E76" s="447" t="s">
        <v>97</v>
      </c>
      <c r="F76" s="447"/>
      <c r="G76" s="195">
        <f>15000/(60)</f>
        <v>250</v>
      </c>
      <c r="H76" s="219" t="s">
        <v>23</v>
      </c>
      <c r="I76" s="139"/>
      <c r="J76" s="190"/>
    </row>
    <row r="77" spans="2:10" ht="38" customHeight="1" x14ac:dyDescent="0.3">
      <c r="E77" s="448" t="s">
        <v>98</v>
      </c>
      <c r="F77" s="448"/>
      <c r="G77" s="207" t="e">
        <f>+SUM(SUMIF($G$21:$G$35, "Scoop*", $J$21:$J$35))/SUMPRODUCT((LEFT(G21:G35, 5)="Scoop") / (COUNTIF(G21:G35, G21:G35 &amp; "") + (G21:G35="")))</f>
        <v>#DIV/0!</v>
      </c>
      <c r="H77" s="220" t="e">
        <f>+G77*24/($G$75*24)</f>
        <v>#DIV/0!</v>
      </c>
      <c r="I77" s="190"/>
      <c r="J77" s="190"/>
    </row>
    <row r="78" spans="2:10" ht="38" customHeight="1" x14ac:dyDescent="0.3">
      <c r="E78" s="448" t="s">
        <v>99</v>
      </c>
      <c r="F78" s="448"/>
      <c r="G78" s="221" t="e">
        <f>+SUM(W21:W35)*D76/D75</f>
        <v>#DIV/0!</v>
      </c>
      <c r="H78" s="220" t="e">
        <f>+G78/G76</f>
        <v>#DIV/0!</v>
      </c>
      <c r="I78" s="190"/>
      <c r="J78" s="190"/>
    </row>
    <row r="79" spans="2:10" ht="38" customHeight="1" x14ac:dyDescent="0.3">
      <c r="G79" s="222" t="s">
        <v>96</v>
      </c>
      <c r="H79" s="139" t="s">
        <v>23</v>
      </c>
    </row>
    <row r="80" spans="2:10" ht="20" customHeight="1" x14ac:dyDescent="0.3">
      <c r="F80" s="208" t="s">
        <v>71</v>
      </c>
      <c r="G80" s="221">
        <f t="shared" ref="G80:G85" si="10" xml:space="preserve"> SUMIF($G$21:$G$35, +F80,$W$21:$W$35)*$D$76</f>
        <v>0</v>
      </c>
      <c r="H80" s="220">
        <f>+G80/$G$76</f>
        <v>0</v>
      </c>
    </row>
    <row r="81" spans="2:10" ht="20" customHeight="1" x14ac:dyDescent="0.3">
      <c r="F81" s="208" t="s">
        <v>72</v>
      </c>
      <c r="G81" s="221">
        <f t="shared" si="10"/>
        <v>0</v>
      </c>
      <c r="H81" s="220">
        <f t="shared" ref="H81:H86" si="11">+G81/$G$76</f>
        <v>0</v>
      </c>
    </row>
    <row r="82" spans="2:10" ht="20" customHeight="1" x14ac:dyDescent="0.3">
      <c r="F82" s="208" t="s">
        <v>73</v>
      </c>
      <c r="G82" s="221">
        <f t="shared" si="10"/>
        <v>0</v>
      </c>
      <c r="H82" s="220">
        <f t="shared" si="11"/>
        <v>0</v>
      </c>
    </row>
    <row r="83" spans="2:10" ht="20" customHeight="1" x14ac:dyDescent="0.3">
      <c r="F83" s="208" t="s">
        <v>74</v>
      </c>
      <c r="G83" s="221">
        <f t="shared" si="10"/>
        <v>0</v>
      </c>
      <c r="H83" s="220">
        <f t="shared" si="11"/>
        <v>0</v>
      </c>
    </row>
    <row r="84" spans="2:10" ht="20" customHeight="1" x14ac:dyDescent="0.3">
      <c r="F84" s="208" t="s">
        <v>75</v>
      </c>
      <c r="G84" s="221">
        <f t="shared" si="10"/>
        <v>0</v>
      </c>
      <c r="H84" s="220">
        <f t="shared" si="11"/>
        <v>0</v>
      </c>
    </row>
    <row r="85" spans="2:10" ht="20" customHeight="1" x14ac:dyDescent="0.3">
      <c r="F85" s="208" t="s">
        <v>76</v>
      </c>
      <c r="G85" s="221">
        <f t="shared" si="10"/>
        <v>0</v>
      </c>
      <c r="H85" s="220">
        <f t="shared" si="11"/>
        <v>0</v>
      </c>
    </row>
    <row r="86" spans="2:10" ht="20" customHeight="1" x14ac:dyDescent="0.3">
      <c r="F86" s="208" t="s">
        <v>146</v>
      </c>
      <c r="G86" s="223">
        <f>+SUM(G80:G85)</f>
        <v>0</v>
      </c>
      <c r="H86" s="220">
        <f t="shared" si="11"/>
        <v>0</v>
      </c>
    </row>
    <row r="87" spans="2:10" ht="13.5" thickBot="1" x14ac:dyDescent="0.35"/>
    <row r="88" spans="2:10" ht="30" customHeight="1" thickBot="1" x14ac:dyDescent="0.35">
      <c r="B88" s="191"/>
      <c r="C88" s="446" t="s">
        <v>149</v>
      </c>
      <c r="D88" s="446"/>
      <c r="E88" s="192"/>
      <c r="F88" s="192"/>
      <c r="G88" s="192"/>
      <c r="H88" s="192"/>
      <c r="I88" s="216"/>
      <c r="J88" s="193"/>
    </row>
    <row r="89" spans="2:10" ht="25.25" customHeight="1" x14ac:dyDescent="0.3">
      <c r="C89" s="208" t="s">
        <v>150</v>
      </c>
      <c r="D89" s="195">
        <f>SUMPRODUCT((LEFT(G21:G35, 8)="Roboshot") / (COUNTIF(G21:G35, G21:G35 &amp; "") + (G21:G35="")))</f>
        <v>0</v>
      </c>
      <c r="E89" s="447" t="s">
        <v>90</v>
      </c>
      <c r="F89" s="447"/>
      <c r="G89" s="218">
        <v>0.20833333333333334</v>
      </c>
    </row>
    <row r="90" spans="2:10" x14ac:dyDescent="0.3">
      <c r="C90" s="208"/>
      <c r="D90" s="195"/>
      <c r="E90" s="447" t="s">
        <v>97</v>
      </c>
      <c r="F90" s="447"/>
      <c r="G90" s="195">
        <v>12</v>
      </c>
      <c r="H90" s="219" t="s">
        <v>23</v>
      </c>
    </row>
    <row r="92" spans="2:10" x14ac:dyDescent="0.3">
      <c r="G92" s="222" t="s">
        <v>96</v>
      </c>
      <c r="H92" s="139" t="s">
        <v>23</v>
      </c>
    </row>
    <row r="93" spans="2:10" x14ac:dyDescent="0.3">
      <c r="F93" s="208" t="s">
        <v>77</v>
      </c>
      <c r="G93" s="221">
        <f xml:space="preserve"> SUMIF($G$21:$G$35, +F93,$X$21:$X$35)</f>
        <v>0</v>
      </c>
      <c r="H93" s="220">
        <f>+G93/$G$90</f>
        <v>0</v>
      </c>
    </row>
    <row r="94" spans="2:10" x14ac:dyDescent="0.3">
      <c r="F94" s="208" t="s">
        <v>78</v>
      </c>
      <c r="G94" s="221">
        <f xml:space="preserve"> SUMIF($G$21:$G$35, +F94,$X$21:$X$35)</f>
        <v>0</v>
      </c>
      <c r="H94" s="220">
        <f t="shared" ref="H94:H95" si="12">+G94/$G$90</f>
        <v>0</v>
      </c>
    </row>
    <row r="95" spans="2:10" x14ac:dyDescent="0.3">
      <c r="F95" s="208" t="s">
        <v>79</v>
      </c>
      <c r="G95" s="221">
        <f xml:space="preserve"> SUMIF($G$21:$G$35, +F95,$X$21:$X$35)</f>
        <v>0</v>
      </c>
      <c r="H95" s="220">
        <f t="shared" si="12"/>
        <v>0</v>
      </c>
    </row>
    <row r="96" spans="2:10" x14ac:dyDescent="0.3">
      <c r="F96" s="208" t="s">
        <v>146</v>
      </c>
      <c r="G96" s="223">
        <f>+SUM(G93:G95)</f>
        <v>0</v>
      </c>
      <c r="H96" s="220">
        <f>+G96/$G$90</f>
        <v>0</v>
      </c>
    </row>
  </sheetData>
  <mergeCells count="41">
    <mergeCell ref="E90:F90"/>
    <mergeCell ref="C74:D74"/>
    <mergeCell ref="E75:F75"/>
    <mergeCell ref="E76:F76"/>
    <mergeCell ref="E77:F77"/>
    <mergeCell ref="E78:F78"/>
    <mergeCell ref="C88:D88"/>
    <mergeCell ref="C60:D60"/>
    <mergeCell ref="E61:F61"/>
    <mergeCell ref="E62:F62"/>
    <mergeCell ref="E63:F63"/>
    <mergeCell ref="E89:F89"/>
    <mergeCell ref="E64:F64"/>
    <mergeCell ref="E49:G49"/>
    <mergeCell ref="E50:G50"/>
    <mergeCell ref="E51:G51"/>
    <mergeCell ref="E52:G52"/>
    <mergeCell ref="E54:G54"/>
    <mergeCell ref="E55:G55"/>
    <mergeCell ref="E56:G56"/>
    <mergeCell ref="E48:G48"/>
    <mergeCell ref="K9:L9"/>
    <mergeCell ref="K10:L10"/>
    <mergeCell ref="K11:L11"/>
    <mergeCell ref="K12:L12"/>
    <mergeCell ref="B14:S14"/>
    <mergeCell ref="C40:D40"/>
    <mergeCell ref="G40:H40"/>
    <mergeCell ref="I40:J40"/>
    <mergeCell ref="K40:L40"/>
    <mergeCell ref="E41:F41"/>
    <mergeCell ref="E42:F42"/>
    <mergeCell ref="E43:F43"/>
    <mergeCell ref="E46:G46"/>
    <mergeCell ref="E47:G47"/>
    <mergeCell ref="K8:L8"/>
    <mergeCell ref="B1:D4"/>
    <mergeCell ref="E2:R2"/>
    <mergeCell ref="E3:R4"/>
    <mergeCell ref="K6:L6"/>
    <mergeCell ref="K7:L7"/>
  </mergeCells>
  <conditionalFormatting sqref="H42:H43 J42:J43">
    <cfRule type="cellIs" dxfId="167" priority="13" operator="greaterThan">
      <formula>0.9</formula>
    </cfRule>
    <cfRule type="cellIs" dxfId="166" priority="14" operator="between">
      <formula>0.81</formula>
      <formula>0.89</formula>
    </cfRule>
    <cfRule type="cellIs" dxfId="165" priority="15" operator="lessThan">
      <formula>0.8</formula>
    </cfRule>
  </conditionalFormatting>
  <conditionalFormatting sqref="H63:H64">
    <cfRule type="cellIs" dxfId="164" priority="16" operator="greaterThan">
      <formula>0.9</formula>
    </cfRule>
    <cfRule type="cellIs" dxfId="163" priority="17" operator="between">
      <formula>0.81</formula>
      <formula>0.89</formula>
    </cfRule>
    <cfRule type="cellIs" dxfId="162" priority="18" operator="lessThan">
      <formula>0.8</formula>
    </cfRule>
  </conditionalFormatting>
  <conditionalFormatting sqref="H66:H72">
    <cfRule type="cellIs" dxfId="161" priority="19" operator="greaterThan">
      <formula>0.9</formula>
    </cfRule>
    <cfRule type="cellIs" dxfId="160" priority="20" operator="between">
      <formula>0.81</formula>
      <formula>0.89</formula>
    </cfRule>
    <cfRule type="cellIs" dxfId="159" priority="21" operator="lessThan">
      <formula>0.8</formula>
    </cfRule>
  </conditionalFormatting>
  <conditionalFormatting sqref="H77:H78">
    <cfRule type="cellIs" dxfId="158" priority="7" operator="greaterThan">
      <formula>0.9</formula>
    </cfRule>
    <cfRule type="cellIs" dxfId="157" priority="8" operator="between">
      <formula>0.81</formula>
      <formula>0.89</formula>
    </cfRule>
    <cfRule type="cellIs" dxfId="156" priority="9" operator="lessThan">
      <formula>0.8</formula>
    </cfRule>
  </conditionalFormatting>
  <conditionalFormatting sqref="H80:H86">
    <cfRule type="cellIs" dxfId="155" priority="10" operator="greaterThan">
      <formula>0.9</formula>
    </cfRule>
    <cfRule type="cellIs" dxfId="154" priority="11" operator="between">
      <formula>0.81</formula>
      <formula>0.89</formula>
    </cfRule>
    <cfRule type="cellIs" dxfId="153" priority="12" operator="lessThan">
      <formula>0.8</formula>
    </cfRule>
  </conditionalFormatting>
  <conditionalFormatting sqref="H93:H96">
    <cfRule type="cellIs" dxfId="152" priority="4" operator="greaterThan">
      <formula>0.9</formula>
    </cfRule>
    <cfRule type="cellIs" dxfId="151" priority="5" operator="between">
      <formula>0.81</formula>
      <formula>0.89</formula>
    </cfRule>
    <cfRule type="cellIs" dxfId="150" priority="6" operator="lessThan">
      <formula>0.8</formula>
    </cfRule>
  </conditionalFormatting>
  <conditionalFormatting sqref="L42:L43">
    <cfRule type="cellIs" dxfId="149" priority="1" operator="greaterThan">
      <formula>0.9</formula>
    </cfRule>
    <cfRule type="cellIs" dxfId="148" priority="2" operator="between">
      <formula>0.81</formula>
      <formula>0.89</formula>
    </cfRule>
    <cfRule type="cellIs" dxfId="147" priority="3" operator="lessThan">
      <formula>0.8</formula>
    </cfRule>
  </conditionalFormatting>
  <pageMargins left="0.25" right="0.25" top="0.75" bottom="0.75" header="0.3" footer="0.3"/>
  <pageSetup scale="3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F5641B4-70BE-49E0-ACEB-93CDE2C86E71}">
          <x14:formula1>
            <xm:f>Datos!$B$3:$B$8</xm:f>
          </x14:formula1>
          <xm:sqref>E30:E38 E21:E27</xm:sqref>
        </x14:dataValidation>
        <x14:dataValidation type="list" allowBlank="1" showInputMessage="1" showErrorMessage="1" xr:uid="{70357830-4DE8-47CB-ADCE-EA54BD5987D4}">
          <x14:formula1>
            <xm:f>Datos!$D$3:$D$27</xm:f>
          </x14:formula1>
          <xm:sqref>F30:F38 F21:F27</xm:sqref>
        </x14:dataValidation>
        <x14:dataValidation type="list" allowBlank="1" showInputMessage="1" showErrorMessage="1" xr:uid="{33AFB95F-E1BC-472B-AB2E-158D015D65E2}">
          <x14:formula1>
            <xm:f>Datos!$W$3:$W$12</xm:f>
          </x14:formula1>
          <xm:sqref>L30:L38 L21:L27</xm:sqref>
        </x14:dataValidation>
        <x14:dataValidation type="list" allowBlank="1" showInputMessage="1" showErrorMessage="1" xr:uid="{D46E2CFF-7361-4616-A823-8CE654A93D36}">
          <x14:formula1>
            <xm:f>Datos!$F$3:$F$41</xm:f>
          </x14:formula1>
          <xm:sqref>G30:G38 G21:G27</xm:sqref>
        </x14:dataValidation>
        <x14:dataValidation type="list" allowBlank="1" showInputMessage="1" showErrorMessage="1" xr:uid="{7D48E178-8016-45EF-96DD-8E83E1BCEAB4}">
          <x14:formula1>
            <xm:f>Datos!$H$3:$H$26</xm:f>
          </x14:formula1>
          <xm:sqref>D27 D38</xm:sqref>
        </x14:dataValidation>
        <x14:dataValidation type="list" allowBlank="1" showInputMessage="1" showErrorMessage="1" xr:uid="{3577CE77-0E43-4B60-B5A9-DEADD59E3C04}">
          <x14:formula1>
            <xm:f>Datos!$H$3:$H$34</xm:f>
          </x14:formula1>
          <xm:sqref>D30:D37 D21:D26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1E1A-C9BF-48FE-8085-7151C5EB4C59}">
  <sheetPr>
    <pageSetUpPr fitToPage="1"/>
  </sheetPr>
  <dimension ref="B1:X94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J21" sqref="J21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6.90625" style="134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+G40</f>
        <v>0.33680555555555547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+H41</f>
        <v>0.33333333333333331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+G70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+G84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+G94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">
        <v>493</v>
      </c>
      <c r="D21" s="173" t="s">
        <v>172</v>
      </c>
      <c r="E21" s="172" t="s">
        <v>6</v>
      </c>
      <c r="F21" s="172" t="s">
        <v>165</v>
      </c>
      <c r="G21" s="172"/>
      <c r="H21" s="174">
        <v>0.86805555555555558</v>
      </c>
      <c r="I21" s="174">
        <v>0.88888888888888884</v>
      </c>
      <c r="J21" s="175">
        <f t="shared" ref="J21:J23" si="0">MOD(I21-H21, 1)</f>
        <v>2.0833333333333259E-2</v>
      </c>
      <c r="K21" s="178"/>
      <c r="L21" s="177"/>
      <c r="M21" s="178"/>
      <c r="N21" s="179">
        <v>1</v>
      </c>
      <c r="O21" s="186" t="s">
        <v>468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">
        <v>493</v>
      </c>
      <c r="D22" s="173" t="s">
        <v>51</v>
      </c>
      <c r="E22" s="172" t="s">
        <v>6</v>
      </c>
      <c r="F22" s="172" t="s">
        <v>165</v>
      </c>
      <c r="G22" s="172"/>
      <c r="H22" s="174">
        <v>0.89930555555555558</v>
      </c>
      <c r="I22" s="174">
        <v>0.95833333333333337</v>
      </c>
      <c r="J22" s="175">
        <f t="shared" si="0"/>
        <v>5.902777777777779E-2</v>
      </c>
      <c r="K22" s="178"/>
      <c r="L22" s="177"/>
      <c r="M22" s="178"/>
      <c r="N22" s="179">
        <v>0</v>
      </c>
      <c r="O22" s="186" t="s">
        <v>506</v>
      </c>
      <c r="P22" s="181"/>
      <c r="Q22" s="174"/>
      <c r="R22" s="172"/>
      <c r="S22" s="175">
        <f t="shared" ref="S22:S25" si="1">+MOD(R22-Q22,1)</f>
        <v>0</v>
      </c>
      <c r="U22" s="182">
        <f>+IFERROR(VLOOKUP(D22,Datos!$R$3:$T$19,3,FALSE), "0")*N22</f>
        <v>0</v>
      </c>
      <c r="V22" s="183" t="str">
        <f t="shared" ref="V22:V25" si="2">IF(OR(D22="Perforación de Fortificación", D22="Perforación de Avance", D22="Perforación Desquinche"), K22*M22, "")</f>
        <v/>
      </c>
      <c r="W22" s="183" t="str">
        <f t="shared" ref="W22:W25" si="3">IF(D22="Extracción de Marina Disparo",K22,"")</f>
        <v/>
      </c>
      <c r="X22" s="183" t="str">
        <f t="shared" ref="X22:X25" si="4">IF(OR(D22="Shotcrete", D22="Pre Shotcrete"), K22, "")</f>
        <v/>
      </c>
    </row>
    <row r="23" spans="2:24" ht="38" customHeight="1" x14ac:dyDescent="0.3">
      <c r="B23" s="172">
        <v>3500</v>
      </c>
      <c r="C23" s="173" t="s">
        <v>493</v>
      </c>
      <c r="D23" s="173" t="s">
        <v>51</v>
      </c>
      <c r="E23" s="172" t="s">
        <v>6</v>
      </c>
      <c r="F23" s="172" t="s">
        <v>165</v>
      </c>
      <c r="G23" s="172"/>
      <c r="H23" s="174">
        <v>0.98958333333333337</v>
      </c>
      <c r="I23" s="174">
        <v>0.24652777777777779</v>
      </c>
      <c r="J23" s="175">
        <f t="shared" si="0"/>
        <v>0.25694444444444442</v>
      </c>
      <c r="K23" s="178"/>
      <c r="L23" s="177"/>
      <c r="M23" s="178"/>
      <c r="N23" s="179">
        <v>0</v>
      </c>
      <c r="O23" s="186" t="s">
        <v>507</v>
      </c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/>
      <c r="C24" s="173"/>
      <c r="D24" s="173"/>
      <c r="E24" s="172"/>
      <c r="F24" s="172"/>
      <c r="G24" s="172"/>
      <c r="H24" s="174"/>
      <c r="I24" s="174"/>
      <c r="J24" s="175"/>
      <c r="K24" s="178"/>
      <c r="L24" s="177"/>
      <c r="M24" s="178"/>
      <c r="N24" s="179"/>
      <c r="O24" s="186"/>
      <c r="P24" s="181"/>
      <c r="Q24" s="174"/>
      <c r="R24" s="172"/>
      <c r="S24" s="175">
        <f t="shared" si="1"/>
        <v>0</v>
      </c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 t="s">
        <v>329</v>
      </c>
      <c r="J25" s="175">
        <f>MOD(I23-H21, 1)</f>
        <v>0.37847222222222221</v>
      </c>
      <c r="K25" s="178"/>
      <c r="L25" s="177"/>
      <c r="M25" s="178"/>
      <c r="N25" s="179"/>
      <c r="O25" s="186" t="s">
        <v>436</v>
      </c>
      <c r="P25" s="172"/>
      <c r="Q25" s="172"/>
      <c r="R25" s="172"/>
      <c r="S25" s="175">
        <f t="shared" si="1"/>
        <v>0</v>
      </c>
      <c r="U25" s="182">
        <f>SUM(U21:U23)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x14ac:dyDescent="0.3">
      <c r="B26" s="185" t="s">
        <v>158</v>
      </c>
      <c r="C26" s="63" t="s">
        <v>194</v>
      </c>
      <c r="D26" s="63"/>
      <c r="E26" s="63"/>
      <c r="F26" s="63"/>
      <c r="G26" s="63"/>
      <c r="H26" s="63"/>
      <c r="I26" s="63"/>
      <c r="J26" s="64"/>
      <c r="K26" s="64"/>
      <c r="L26" s="171"/>
      <c r="M26" s="63"/>
      <c r="N26" s="64"/>
      <c r="O26" s="64"/>
      <c r="P26" s="63"/>
      <c r="Q26" s="63"/>
      <c r="R26" s="63"/>
      <c r="S26" s="64"/>
      <c r="U26" s="63"/>
      <c r="V26" s="64"/>
      <c r="W26" s="64"/>
      <c r="X26" s="64"/>
    </row>
    <row r="27" spans="2:24" ht="52" x14ac:dyDescent="0.3">
      <c r="B27" s="63" t="s">
        <v>3</v>
      </c>
      <c r="C27" s="63" t="s">
        <v>2</v>
      </c>
      <c r="D27" s="63" t="s">
        <v>5</v>
      </c>
      <c r="E27" s="63" t="s">
        <v>22</v>
      </c>
      <c r="F27" s="63" t="s">
        <v>139</v>
      </c>
      <c r="G27" s="63" t="s">
        <v>29</v>
      </c>
      <c r="H27" s="63" t="s">
        <v>121</v>
      </c>
      <c r="I27" s="63" t="s">
        <v>4</v>
      </c>
      <c r="J27" s="64" t="s">
        <v>122</v>
      </c>
      <c r="K27" s="64" t="s">
        <v>131</v>
      </c>
      <c r="L27" s="171" t="s">
        <v>123</v>
      </c>
      <c r="M27" s="63" t="s">
        <v>134</v>
      </c>
      <c r="N27" s="64" t="s">
        <v>24</v>
      </c>
      <c r="O27" s="64" t="s">
        <v>130</v>
      </c>
      <c r="P27" s="63" t="s">
        <v>132</v>
      </c>
      <c r="Q27" s="63" t="s">
        <v>121</v>
      </c>
      <c r="R27" s="63" t="s">
        <v>4</v>
      </c>
      <c r="S27" s="64" t="s">
        <v>137</v>
      </c>
      <c r="U27" s="63" t="s">
        <v>109</v>
      </c>
      <c r="V27" s="64" t="s">
        <v>87</v>
      </c>
      <c r="W27" s="64" t="s">
        <v>128</v>
      </c>
      <c r="X27" s="64" t="s">
        <v>128</v>
      </c>
    </row>
    <row r="28" spans="2:24" ht="38" customHeight="1" x14ac:dyDescent="0.3">
      <c r="B28" s="172">
        <v>3700</v>
      </c>
      <c r="C28" s="173" t="str">
        <f>+Datos!$R$23</f>
        <v>Ciclo Minero 5,2 x 5,6 m
Galería Acceso Portal de Servicio</v>
      </c>
      <c r="D28" s="173" t="s">
        <v>110</v>
      </c>
      <c r="E28" s="172" t="s">
        <v>6</v>
      </c>
      <c r="F28" s="172" t="s">
        <v>166</v>
      </c>
      <c r="G28" s="172"/>
      <c r="H28" s="174">
        <v>0.83333333333333337</v>
      </c>
      <c r="I28" s="174">
        <v>1.3333333333333333</v>
      </c>
      <c r="J28" s="175">
        <f>I28-H28</f>
        <v>0.49999999999999989</v>
      </c>
      <c r="K28" s="178"/>
      <c r="L28" s="177"/>
      <c r="M28" s="178"/>
      <c r="N28" s="179">
        <v>1</v>
      </c>
      <c r="O28" s="186" t="s">
        <v>428</v>
      </c>
      <c r="P28" s="225"/>
      <c r="Q28" s="174"/>
      <c r="R28" s="174"/>
      <c r="S28" s="175"/>
      <c r="U28" s="187">
        <f>+IFERROR(VLOOKUP(D28,Datos!$R$24:$T$40,3,FALSE), "0")*N28</f>
        <v>0</v>
      </c>
      <c r="V28" s="183" t="str">
        <f t="shared" ref="V28:V36" si="5">IF(OR(D28="Perforación de Fortificación", D28="Perforación de Avance", D28="Perforación Desquinche"), K28*M28, "")</f>
        <v/>
      </c>
      <c r="W28" s="183" t="str">
        <f>IF(D28="Extracción de Marina Disparo",K28,"")</f>
        <v/>
      </c>
      <c r="X28" s="183" t="str">
        <f t="shared" ref="X28:X36" si="6">IF(OR(D28="Shotcrete", D28="Pre Shotcrete"), K28, "")</f>
        <v/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/>
      <c r="E29" s="172"/>
      <c r="F29" s="172"/>
      <c r="G29" s="172"/>
      <c r="H29" s="174"/>
      <c r="I29" s="174"/>
      <c r="J29" s="175"/>
      <c r="K29" s="178"/>
      <c r="L29" s="177"/>
      <c r="M29" s="178"/>
      <c r="N29" s="179"/>
      <c r="O29" s="225"/>
      <c r="P29" s="173"/>
      <c r="Q29" s="174"/>
      <c r="R29" s="174"/>
      <c r="S29" s="175"/>
      <c r="U29" s="187">
        <f>+IFERROR(VLOOKUP(D29,Datos!$R$24:$T$40,3,FALSE), "0")*N29</f>
        <v>0</v>
      </c>
      <c r="V29" s="183" t="str">
        <f t="shared" si="5"/>
        <v/>
      </c>
      <c r="W29" s="183" t="str">
        <f>IF(D29="Extracción de Marina Disparo",K29,"")</f>
        <v/>
      </c>
      <c r="X29" s="183" t="str">
        <f t="shared" si="6"/>
        <v/>
      </c>
    </row>
    <row r="30" spans="2:24" ht="53.4" customHeight="1" x14ac:dyDescent="0.3">
      <c r="B30" s="172">
        <v>3700</v>
      </c>
      <c r="C30" s="173" t="str">
        <f>+C28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81"/>
      <c r="Q30" s="174"/>
      <c r="R30" s="174"/>
      <c r="S30" s="175"/>
      <c r="U30" s="187">
        <f>+IFERROR(VLOOKUP(D30,Datos!$R$24:$T$40,3,FALSE), "0")*N30</f>
        <v>0</v>
      </c>
      <c r="V30" s="183" t="str">
        <f t="shared" si="5"/>
        <v/>
      </c>
      <c r="W30" s="183" t="str">
        <f t="shared" ref="W30:W36" si="7">IF(D30="Extracción de Marina Disparo",K30,"")</f>
        <v/>
      </c>
      <c r="X30" s="183" t="str">
        <f t="shared" si="6"/>
        <v/>
      </c>
    </row>
    <row r="31" spans="2:24" ht="38" customHeight="1" x14ac:dyDescent="0.3">
      <c r="B31" s="172">
        <v>3700</v>
      </c>
      <c r="C31" s="173" t="s">
        <v>397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186"/>
      <c r="P31" s="172"/>
      <c r="Q31" s="172"/>
      <c r="R31" s="172"/>
      <c r="S31" s="175"/>
      <c r="U31" s="187">
        <f>+IFERROR(VLOOKUP(D31,Datos!$R$24:$T$40,3,FALSE), "0")*N31</f>
        <v>0</v>
      </c>
      <c r="V31" s="183" t="str">
        <f t="shared" si="5"/>
        <v/>
      </c>
      <c r="W31" s="183" t="str">
        <f t="shared" si="7"/>
        <v/>
      </c>
      <c r="X31" s="183"/>
    </row>
    <row r="32" spans="2:24" ht="38" customHeight="1" x14ac:dyDescent="0.3">
      <c r="B32" s="172">
        <v>3700</v>
      </c>
      <c r="C32" s="173" t="str">
        <f>+C31</f>
        <v>Fróntón Bodega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5"/>
        <v/>
      </c>
      <c r="W32" s="183" t="str">
        <f t="shared" si="7"/>
        <v/>
      </c>
      <c r="X32" s="183" t="str">
        <f t="shared" si="6"/>
        <v/>
      </c>
    </row>
    <row r="33" spans="2:24" ht="38" customHeight="1" x14ac:dyDescent="0.3">
      <c r="B33" s="172"/>
      <c r="C33" s="173"/>
      <c r="D33" s="173"/>
      <c r="E33" s="172"/>
      <c r="F33" s="172"/>
      <c r="G33" s="172"/>
      <c r="H33" s="174"/>
      <c r="I33" s="174"/>
      <c r="J33" s="175">
        <f>MOD(I33-H33, 1)</f>
        <v>0</v>
      </c>
      <c r="K33" s="178"/>
      <c r="L33" s="177"/>
      <c r="M33" s="178"/>
      <c r="N33" s="179"/>
      <c r="O33" s="225"/>
      <c r="P33" s="172"/>
      <c r="Q33" s="172"/>
      <c r="R33" s="172"/>
      <c r="S33" s="175">
        <f t="shared" ref="S33:S36" si="8">+MOD(R33-Q33,1)</f>
        <v>0</v>
      </c>
      <c r="U33" s="187">
        <f>+IFERROR(VLOOKUP(D33,Datos!$R$24:$T$40,3,FALSE), "0")*N33</f>
        <v>0</v>
      </c>
      <c r="V33" s="183" t="str">
        <f t="shared" si="5"/>
        <v/>
      </c>
      <c r="W33" s="183" t="str">
        <f t="shared" si="7"/>
        <v/>
      </c>
      <c r="X33" s="183" t="str">
        <f t="shared" si="6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186"/>
      <c r="P34" s="172"/>
      <c r="Q34" s="172"/>
      <c r="R34" s="172"/>
      <c r="S34" s="175">
        <f t="shared" si="8"/>
        <v>0</v>
      </c>
      <c r="U34" s="187"/>
      <c r="V34" s="183" t="str">
        <f t="shared" si="5"/>
        <v/>
      </c>
      <c r="W34" s="183" t="str">
        <f t="shared" si="7"/>
        <v/>
      </c>
      <c r="X34" s="183" t="str">
        <f t="shared" si="6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8"/>
        <v>0</v>
      </c>
      <c r="U35" s="187"/>
      <c r="V35" s="183" t="str">
        <f t="shared" si="5"/>
        <v/>
      </c>
      <c r="W35" s="183" t="str">
        <f t="shared" si="7"/>
        <v/>
      </c>
      <c r="X35" s="183" t="str">
        <f t="shared" si="6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 t="s">
        <v>329</v>
      </c>
      <c r="J36" s="175"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8"/>
        <v>0</v>
      </c>
      <c r="U36" s="182">
        <f>SUM(U28:U35)</f>
        <v>0</v>
      </c>
      <c r="V36" s="183" t="str">
        <f t="shared" si="5"/>
        <v/>
      </c>
      <c r="W36" s="183" t="str">
        <f t="shared" si="7"/>
        <v/>
      </c>
      <c r="X36" s="183" t="str">
        <f t="shared" si="6"/>
        <v/>
      </c>
    </row>
    <row r="37" spans="2:24" ht="15.65" customHeight="1" thickBot="1" x14ac:dyDescent="0.35">
      <c r="B37" s="190"/>
      <c r="C37" s="190"/>
      <c r="D37" s="190"/>
      <c r="E37" s="190"/>
      <c r="F37" s="190"/>
      <c r="G37" s="190"/>
      <c r="H37" s="190"/>
      <c r="J37" s="190"/>
      <c r="K37" s="190"/>
      <c r="L37" s="190"/>
      <c r="M37" s="190"/>
      <c r="N37" s="190"/>
      <c r="O37" s="190"/>
      <c r="P37" s="190"/>
      <c r="Q37" s="190"/>
      <c r="R37" s="190"/>
      <c r="S37" s="190"/>
    </row>
    <row r="38" spans="2:24" ht="30" customHeight="1" thickBot="1" x14ac:dyDescent="0.35">
      <c r="B38" s="191"/>
      <c r="C38" s="446" t="s">
        <v>64</v>
      </c>
      <c r="D38" s="446"/>
      <c r="E38" s="192"/>
      <c r="F38" s="192"/>
      <c r="G38" s="431">
        <v>3500</v>
      </c>
      <c r="H38" s="432"/>
      <c r="I38" s="431">
        <v>3700</v>
      </c>
      <c r="J38" s="432"/>
      <c r="K38" s="433" t="s">
        <v>146</v>
      </c>
      <c r="L38" s="434"/>
      <c r="M38" s="190"/>
      <c r="N38" s="190"/>
      <c r="O38" s="190"/>
      <c r="P38" s="190"/>
      <c r="Q38" s="190"/>
      <c r="R38" s="190"/>
      <c r="S38" s="190"/>
    </row>
    <row r="39" spans="2:24" ht="30" customHeight="1" x14ac:dyDescent="0.3">
      <c r="C39" s="194" t="s">
        <v>48</v>
      </c>
      <c r="D39" s="195">
        <f>SUMPRODUCT((LEFT(F21:F33, 1)="C") / (COUNTIF(F21:F33, F21:F33 &amp; "") + (F21:F33="")))</f>
        <v>0</v>
      </c>
      <c r="E39" s="447" t="s">
        <v>90</v>
      </c>
      <c r="F39" s="447"/>
      <c r="G39" s="196">
        <v>0.26041666666666669</v>
      </c>
      <c r="H39" s="197" t="s">
        <v>23</v>
      </c>
      <c r="I39" s="196">
        <v>0.26041666666666669</v>
      </c>
      <c r="J39" s="197" t="s">
        <v>23</v>
      </c>
      <c r="K39" s="198">
        <f>+G39</f>
        <v>0.26041666666666669</v>
      </c>
      <c r="L39" s="197" t="s">
        <v>23</v>
      </c>
      <c r="M39" s="190"/>
      <c r="N39" s="190"/>
      <c r="O39" s="190"/>
      <c r="P39" s="190"/>
      <c r="Q39" s="190"/>
      <c r="R39" s="190"/>
      <c r="S39" s="190"/>
    </row>
    <row r="40" spans="2:24" x14ac:dyDescent="0.3">
      <c r="C40" s="194" t="s">
        <v>49</v>
      </c>
      <c r="D40" s="195">
        <f>SUMPRODUCT((LEFT(F21:F33, 1)="O") / (COUNTIF(F21:F33, F21:F33 &amp; "") + (F21:F33="")))</f>
        <v>0</v>
      </c>
      <c r="E40" s="448" t="s">
        <v>198</v>
      </c>
      <c r="F40" s="448"/>
      <c r="G40" s="199">
        <f>SUM(J21:J23)</f>
        <v>0.33680555555555547</v>
      </c>
      <c r="H40" s="200">
        <f>+G40*24/($G$39*24)</f>
        <v>1.2933333333333332</v>
      </c>
      <c r="I40" s="199">
        <f>SUM(J28:J33)</f>
        <v>0.49999999999999989</v>
      </c>
      <c r="J40" s="200">
        <f>+I40*24/($I$39*24)</f>
        <v>1.9199999999999995</v>
      </c>
      <c r="K40" s="201">
        <f>AVERAGE(G40+I40)/2</f>
        <v>0.41840277777777768</v>
      </c>
      <c r="L40" s="200">
        <f>+K40*24/($K$39*24)</f>
        <v>1.6066666666666662</v>
      </c>
      <c r="M40" s="190"/>
      <c r="N40" s="190"/>
      <c r="O40" s="190"/>
      <c r="P40" s="190"/>
      <c r="Q40" s="190"/>
      <c r="R40" s="190"/>
      <c r="S40" s="190"/>
    </row>
    <row r="41" spans="2:24" ht="43.25" customHeight="1" thickBot="1" x14ac:dyDescent="0.35">
      <c r="E41" s="448" t="s">
        <v>94</v>
      </c>
      <c r="F41" s="448"/>
      <c r="G41" s="202"/>
      <c r="H41" s="203">
        <f>+AVERAGE(N21:N25)</f>
        <v>0.33333333333333331</v>
      </c>
      <c r="I41" s="202"/>
      <c r="J41" s="203">
        <f>+AVERAGE(N28:N33)</f>
        <v>1</v>
      </c>
      <c r="K41" s="204"/>
      <c r="L41" s="203">
        <f>+AVERAGE(N21:N33)</f>
        <v>0.5</v>
      </c>
    </row>
    <row r="42" spans="2:24" ht="43.25" customHeight="1" x14ac:dyDescent="0.3">
      <c r="E42" s="205"/>
      <c r="F42" s="205"/>
      <c r="G42" s="206"/>
      <c r="H42" s="206"/>
      <c r="I42" s="137"/>
      <c r="J42" s="137"/>
      <c r="K42" s="137"/>
      <c r="L42" s="137"/>
    </row>
    <row r="43" spans="2:24" ht="43.25" customHeight="1" x14ac:dyDescent="0.3">
      <c r="E43" s="194"/>
      <c r="F43" s="194"/>
      <c r="G43" s="207"/>
      <c r="H43" s="208" t="s">
        <v>24</v>
      </c>
      <c r="I43" s="208" t="s">
        <v>199</v>
      </c>
      <c r="J43" s="208" t="s">
        <v>201</v>
      </c>
      <c r="K43" s="208" t="s">
        <v>404</v>
      </c>
      <c r="L43" s="345" t="s">
        <v>484</v>
      </c>
      <c r="M43" s="345" t="s">
        <v>485</v>
      </c>
      <c r="N43" s="208"/>
    </row>
    <row r="44" spans="2:24" ht="14.5" x14ac:dyDescent="0.35">
      <c r="E44" s="445" t="s">
        <v>174</v>
      </c>
      <c r="F44" s="445"/>
      <c r="G44" s="445"/>
      <c r="H44" s="209">
        <f>+U36</f>
        <v>0</v>
      </c>
      <c r="I44" s="298">
        <f>+H44*$J$44*$K$44</f>
        <v>0</v>
      </c>
      <c r="J44" s="298">
        <v>6.6</v>
      </c>
      <c r="K44" s="246">
        <v>3.42</v>
      </c>
      <c r="L44" s="344">
        <v>56.080975609756102</v>
      </c>
      <c r="M44" s="344">
        <f>+L44*K44*H44</f>
        <v>0</v>
      </c>
    </row>
    <row r="45" spans="2:24" ht="14.4" customHeight="1" x14ac:dyDescent="0.35">
      <c r="E45" s="445" t="s">
        <v>224</v>
      </c>
      <c r="F45" s="445"/>
      <c r="G45" s="445"/>
      <c r="H45" s="209"/>
      <c r="I45" s="298">
        <f>+J45*K45</f>
        <v>0</v>
      </c>
      <c r="J45" s="298">
        <f>1892/1000000</f>
        <v>1.892E-3</v>
      </c>
      <c r="K45" s="246">
        <f>+((15*4.4)*2.72)*0</f>
        <v>0</v>
      </c>
      <c r="L45" s="346">
        <v>1.6919982016368774E-2</v>
      </c>
      <c r="M45" s="344">
        <f>+L45*K45</f>
        <v>0</v>
      </c>
    </row>
    <row r="46" spans="2:24" ht="14.4" customHeight="1" x14ac:dyDescent="0.35">
      <c r="E46" s="445" t="s">
        <v>359</v>
      </c>
      <c r="F46" s="445"/>
      <c r="G46" s="445"/>
      <c r="H46" s="209"/>
      <c r="I46" s="298">
        <f>+J46*K46</f>
        <v>0</v>
      </c>
      <c r="J46" s="298">
        <v>0.340368</v>
      </c>
      <c r="K46" s="246">
        <v>0</v>
      </c>
      <c r="L46" s="346">
        <v>2.2358937544867188</v>
      </c>
      <c r="M46" s="344">
        <f>+L46*K46</f>
        <v>0</v>
      </c>
    </row>
    <row r="47" spans="2:24" ht="14.4" customHeight="1" x14ac:dyDescent="0.35">
      <c r="E47" s="445" t="s">
        <v>376</v>
      </c>
      <c r="F47" s="445"/>
      <c r="G47" s="445"/>
      <c r="H47" s="209">
        <v>0</v>
      </c>
      <c r="I47" s="298">
        <f>+H47*$J$47*$K$47</f>
        <v>0</v>
      </c>
      <c r="J47" s="298">
        <f>23683234/1000000</f>
        <v>23.683233999999999</v>
      </c>
      <c r="K47" s="226">
        <v>0</v>
      </c>
      <c r="L47" s="346">
        <v>254.98967741935485</v>
      </c>
      <c r="M47" s="344">
        <f>+L47*K47*H47</f>
        <v>0</v>
      </c>
    </row>
    <row r="48" spans="2:24" ht="14.4" customHeight="1" x14ac:dyDescent="0.35">
      <c r="E48" s="445" t="s">
        <v>236</v>
      </c>
      <c r="F48" s="445"/>
      <c r="G48" s="445"/>
      <c r="H48" s="209"/>
      <c r="I48" s="298">
        <f>+J48*K48</f>
        <v>0</v>
      </c>
      <c r="J48" s="298">
        <f>25508/1000000</f>
        <v>2.5507999999999999E-2</v>
      </c>
      <c r="K48" s="246">
        <f>7/(0.05)*0</f>
        <v>0</v>
      </c>
      <c r="L48" s="347" t="s">
        <v>486</v>
      </c>
      <c r="M48" s="349"/>
    </row>
    <row r="49" spans="2:13" ht="14.4" customHeight="1" x14ac:dyDescent="0.35">
      <c r="E49" s="445" t="s">
        <v>451</v>
      </c>
      <c r="F49" s="445"/>
      <c r="G49" s="445"/>
      <c r="H49" s="209">
        <v>1</v>
      </c>
      <c r="I49" s="298">
        <f>H49*J49</f>
        <v>7.9892054999999997</v>
      </c>
      <c r="J49" s="298">
        <f>15978411/2000000</f>
        <v>7.9892054999999997</v>
      </c>
      <c r="K49" s="246"/>
      <c r="L49" s="347" t="s">
        <v>486</v>
      </c>
      <c r="M49" s="344"/>
    </row>
    <row r="50" spans="2:13" ht="14.4" customHeight="1" x14ac:dyDescent="0.35">
      <c r="E50" s="445" t="s">
        <v>298</v>
      </c>
      <c r="F50" s="445"/>
      <c r="G50" s="445"/>
      <c r="H50" s="209"/>
      <c r="I50" s="210">
        <f>SUM(I44:I49)</f>
        <v>7.9892054999999997</v>
      </c>
      <c r="J50" s="214"/>
      <c r="K50" s="246"/>
      <c r="L50" s="344"/>
      <c r="M50" s="344"/>
    </row>
    <row r="51" spans="2:13" ht="14.4" customHeight="1" x14ac:dyDescent="0.35">
      <c r="E51" s="227"/>
      <c r="F51" s="227"/>
      <c r="G51" s="227"/>
      <c r="H51" s="209"/>
      <c r="I51" s="210"/>
      <c r="J51" s="214"/>
      <c r="K51" s="246"/>
      <c r="L51" s="344"/>
      <c r="M51" s="344"/>
    </row>
    <row r="52" spans="2:13" ht="14.4" customHeight="1" x14ac:dyDescent="0.35">
      <c r="E52" s="445" t="s">
        <v>175</v>
      </c>
      <c r="F52" s="445"/>
      <c r="G52" s="445"/>
      <c r="H52" s="209">
        <f>+U25</f>
        <v>0</v>
      </c>
      <c r="I52" s="210">
        <f>+H52*$J$52*$K$52</f>
        <v>0</v>
      </c>
      <c r="J52" s="211">
        <v>11.8</v>
      </c>
      <c r="K52" s="246">
        <v>4</v>
      </c>
      <c r="L52" s="344">
        <v>118.52055555555555</v>
      </c>
      <c r="M52" s="344">
        <f>+L52*K52*H52</f>
        <v>0</v>
      </c>
    </row>
    <row r="53" spans="2:13" ht="14.4" customHeight="1" x14ac:dyDescent="0.35">
      <c r="E53" s="445" t="s">
        <v>225</v>
      </c>
      <c r="F53" s="445"/>
      <c r="G53" s="445"/>
      <c r="H53" s="209"/>
      <c r="I53" s="210">
        <f>+J53*K53</f>
        <v>0</v>
      </c>
      <c r="J53" s="296">
        <f>+J45*0</f>
        <v>0</v>
      </c>
      <c r="K53" s="215">
        <f>+((15*2.8)*2.72)*0</f>
        <v>0</v>
      </c>
      <c r="L53" s="346">
        <v>1.6919982016368774E-2</v>
      </c>
      <c r="M53" s="344">
        <f>+L53*K53</f>
        <v>0</v>
      </c>
    </row>
    <row r="54" spans="2:13" ht="14.4" customHeight="1" x14ac:dyDescent="0.35">
      <c r="E54" s="445" t="s">
        <v>297</v>
      </c>
      <c r="F54" s="445"/>
      <c r="G54" s="445"/>
      <c r="H54" s="209"/>
      <c r="I54" s="210">
        <f>SUM(I52:I53)</f>
        <v>0</v>
      </c>
      <c r="J54" s="214"/>
      <c r="K54" s="246"/>
      <c r="L54" s="347"/>
      <c r="M54" s="349"/>
    </row>
    <row r="55" spans="2:13" ht="14.4" customHeight="1" x14ac:dyDescent="0.3">
      <c r="E55" s="227"/>
      <c r="F55" s="227"/>
      <c r="G55" s="227"/>
      <c r="H55" s="209"/>
      <c r="I55" s="210"/>
      <c r="J55" s="214"/>
      <c r="K55" s="246"/>
      <c r="L55" s="213"/>
      <c r="M55" s="352">
        <f>SUM(M44:M54)</f>
        <v>0</v>
      </c>
    </row>
    <row r="56" spans="2:13" ht="14.4" customHeight="1" x14ac:dyDescent="0.3">
      <c r="L56" s="213"/>
    </row>
    <row r="57" spans="2:13" ht="7.75" customHeight="1" thickBot="1" x14ac:dyDescent="0.35"/>
    <row r="58" spans="2:13" ht="30" customHeight="1" thickBot="1" x14ac:dyDescent="0.35">
      <c r="B58" s="191"/>
      <c r="C58" s="446" t="s">
        <v>88</v>
      </c>
      <c r="D58" s="446"/>
      <c r="E58" s="192"/>
      <c r="F58" s="192"/>
      <c r="G58" s="192"/>
      <c r="H58" s="192"/>
      <c r="I58" s="216"/>
      <c r="J58" s="193"/>
    </row>
    <row r="59" spans="2:13" ht="38" customHeight="1" x14ac:dyDescent="0.3">
      <c r="C59" s="217" t="s">
        <v>89</v>
      </c>
      <c r="D59" s="195">
        <f>SUMPRODUCT((LEFT(G21:G33, 5)="Jumbo") / (COUNTIF(G21:G33, G21:G33 &amp; "") + (G21:G33="")))</f>
        <v>0</v>
      </c>
      <c r="E59" s="447" t="s">
        <v>90</v>
      </c>
      <c r="F59" s="447"/>
      <c r="G59" s="218">
        <v>0.20833333333333334</v>
      </c>
      <c r="I59" s="139"/>
      <c r="J59" s="190"/>
    </row>
    <row r="60" spans="2:13" ht="38" customHeight="1" x14ac:dyDescent="0.3">
      <c r="E60" s="447" t="s">
        <v>93</v>
      </c>
      <c r="F60" s="447"/>
      <c r="G60" s="195">
        <f>15000/(60)</f>
        <v>250</v>
      </c>
      <c r="H60" s="219" t="s">
        <v>143</v>
      </c>
      <c r="I60" s="139"/>
      <c r="J60" s="190"/>
    </row>
    <row r="61" spans="2:13" ht="38" customHeight="1" x14ac:dyDescent="0.3">
      <c r="E61" s="448" t="s">
        <v>91</v>
      </c>
      <c r="F61" s="448"/>
      <c r="G61" s="207" t="e">
        <f>+SUM(SUMIF($G$21:$G$33, "Jumbo*", $J$21:$J$33))/SUMPRODUCT((LEFT(G21:G33, 5)="Jumbo") / (COUNTIF(G21:G33, G21:G33 &amp; "") + (G21:G33="")))</f>
        <v>#DIV/0!</v>
      </c>
      <c r="H61" s="220" t="e">
        <f>+G61*24/($G$59*24)</f>
        <v>#DIV/0!</v>
      </c>
      <c r="I61" s="190"/>
      <c r="J61" s="190"/>
    </row>
    <row r="62" spans="2:13" ht="38" customHeight="1" x14ac:dyDescent="0.3">
      <c r="E62" s="448" t="s">
        <v>92</v>
      </c>
      <c r="F62" s="448"/>
      <c r="G62" s="221" t="e">
        <f>+SUM(V21:V33)/D59</f>
        <v>#DIV/0!</v>
      </c>
      <c r="H62" s="220" t="e">
        <f>+G62/G60</f>
        <v>#DIV/0!</v>
      </c>
      <c r="I62" s="190"/>
      <c r="J62" s="190"/>
    </row>
    <row r="63" spans="2:13" ht="38" customHeight="1" x14ac:dyDescent="0.3">
      <c r="G63" s="222" t="s">
        <v>87</v>
      </c>
      <c r="H63" s="139" t="s">
        <v>23</v>
      </c>
    </row>
    <row r="64" spans="2:13" ht="20" customHeight="1" x14ac:dyDescent="0.3">
      <c r="F64" s="208" t="s">
        <v>65</v>
      </c>
      <c r="G64" s="221">
        <f t="shared" ref="G64:G69" si="9" xml:space="preserve"> SUMIF($G$21:$G$33, +F64,$V$21:$V$33)</f>
        <v>0</v>
      </c>
      <c r="H64" s="220">
        <f t="shared" ref="H64:H69" si="10">+G64/$G$60</f>
        <v>0</v>
      </c>
    </row>
    <row r="65" spans="2:10" ht="20" customHeight="1" x14ac:dyDescent="0.3">
      <c r="F65" s="208" t="s">
        <v>66</v>
      </c>
      <c r="G65" s="221">
        <f t="shared" si="9"/>
        <v>0</v>
      </c>
      <c r="H65" s="220">
        <f t="shared" si="10"/>
        <v>0</v>
      </c>
    </row>
    <row r="66" spans="2:10" ht="20" customHeight="1" x14ac:dyDescent="0.3">
      <c r="F66" s="208" t="s">
        <v>67</v>
      </c>
      <c r="G66" s="221">
        <f t="shared" si="9"/>
        <v>0</v>
      </c>
      <c r="H66" s="220">
        <f t="shared" si="10"/>
        <v>0</v>
      </c>
    </row>
    <row r="67" spans="2:10" ht="20" customHeight="1" x14ac:dyDescent="0.3">
      <c r="F67" s="208" t="s">
        <v>68</v>
      </c>
      <c r="G67" s="221">
        <f t="shared" si="9"/>
        <v>0</v>
      </c>
      <c r="H67" s="220">
        <f t="shared" si="10"/>
        <v>0</v>
      </c>
    </row>
    <row r="68" spans="2:10" ht="20" customHeight="1" x14ac:dyDescent="0.3">
      <c r="F68" s="208" t="s">
        <v>69</v>
      </c>
      <c r="G68" s="221">
        <f t="shared" si="9"/>
        <v>0</v>
      </c>
      <c r="H68" s="220">
        <f t="shared" si="10"/>
        <v>0</v>
      </c>
    </row>
    <row r="69" spans="2:10" ht="20" customHeight="1" x14ac:dyDescent="0.3">
      <c r="F69" s="208" t="s">
        <v>70</v>
      </c>
      <c r="G69" s="221">
        <f t="shared" si="9"/>
        <v>0</v>
      </c>
      <c r="H69" s="220">
        <f t="shared" si="10"/>
        <v>0</v>
      </c>
    </row>
    <row r="70" spans="2:10" ht="20" customHeight="1" x14ac:dyDescent="0.3">
      <c r="F70" s="208" t="s">
        <v>146</v>
      </c>
      <c r="G70" s="223">
        <f>+SUM(G64:G69)</f>
        <v>0</v>
      </c>
      <c r="H70" s="220" t="e">
        <f>+G70/($G$60*$D$59)</f>
        <v>#DIV/0!</v>
      </c>
    </row>
    <row r="71" spans="2:10" ht="13.5" thickBot="1" x14ac:dyDescent="0.35"/>
    <row r="72" spans="2:10" ht="30" customHeight="1" thickBot="1" x14ac:dyDescent="0.35">
      <c r="B72" s="191"/>
      <c r="C72" s="446" t="s">
        <v>107</v>
      </c>
      <c r="D72" s="446"/>
      <c r="E72" s="192"/>
      <c r="F72" s="192"/>
      <c r="G72" s="192"/>
      <c r="H72" s="192"/>
      <c r="I72" s="216"/>
      <c r="J72" s="193"/>
    </row>
    <row r="73" spans="2:10" ht="38" customHeight="1" x14ac:dyDescent="0.3">
      <c r="C73" s="208" t="s">
        <v>95</v>
      </c>
      <c r="D73" s="195">
        <f>SUMPRODUCT((LEFT(G21:G33, 5)="Scoop") / (COUNTIF(G21:G33, G21:G33 &amp; "") + (G21:G33="")))</f>
        <v>0</v>
      </c>
      <c r="E73" s="447" t="s">
        <v>90</v>
      </c>
      <c r="F73" s="447"/>
      <c r="G73" s="218">
        <v>0.20833333333333334</v>
      </c>
      <c r="I73" s="139"/>
      <c r="J73" s="190"/>
    </row>
    <row r="74" spans="2:10" ht="38" customHeight="1" x14ac:dyDescent="0.3">
      <c r="C74" s="208" t="s">
        <v>145</v>
      </c>
      <c r="D74" s="195">
        <v>4.9000000000000004</v>
      </c>
      <c r="E74" s="447" t="s">
        <v>97</v>
      </c>
      <c r="F74" s="447"/>
      <c r="G74" s="195">
        <f>15000/(60)</f>
        <v>250</v>
      </c>
      <c r="H74" s="219" t="s">
        <v>23</v>
      </c>
      <c r="I74" s="139"/>
      <c r="J74" s="190"/>
    </row>
    <row r="75" spans="2:10" ht="38" customHeight="1" x14ac:dyDescent="0.3">
      <c r="E75" s="448" t="s">
        <v>98</v>
      </c>
      <c r="F75" s="448"/>
      <c r="G75" s="207" t="e">
        <f>+SUM(SUMIF($G$21:$G$33, "Scoop*", $J$21:$J$33))/SUMPRODUCT((LEFT(G21:G33, 5)="Scoop") / (COUNTIF(G21:G33, G21:G33 &amp; "") + (G21:G33="")))</f>
        <v>#DIV/0!</v>
      </c>
      <c r="H75" s="220" t="e">
        <f>+G75*24/($G$73*24)</f>
        <v>#DIV/0!</v>
      </c>
      <c r="I75" s="190"/>
      <c r="J75" s="190"/>
    </row>
    <row r="76" spans="2:10" ht="38" customHeight="1" x14ac:dyDescent="0.3">
      <c r="E76" s="448" t="s">
        <v>99</v>
      </c>
      <c r="F76" s="448"/>
      <c r="G76" s="221" t="e">
        <f>+SUM(W21:W33)*D74/D73</f>
        <v>#DIV/0!</v>
      </c>
      <c r="H76" s="220" t="e">
        <f>+G76/G74</f>
        <v>#DIV/0!</v>
      </c>
      <c r="I76" s="190"/>
      <c r="J76" s="190"/>
    </row>
    <row r="77" spans="2:10" ht="38" customHeight="1" x14ac:dyDescent="0.3">
      <c r="G77" s="222" t="s">
        <v>96</v>
      </c>
      <c r="H77" s="139" t="s">
        <v>23</v>
      </c>
    </row>
    <row r="78" spans="2:10" ht="20" customHeight="1" x14ac:dyDescent="0.3">
      <c r="F78" s="208" t="s">
        <v>71</v>
      </c>
      <c r="G78" s="221">
        <f t="shared" ref="G78:G83" si="11" xml:space="preserve"> SUMIF($G$21:$G$33, +F78,$W$21:$W$33)*$D$74</f>
        <v>0</v>
      </c>
      <c r="H78" s="220">
        <f>+G78/$G$74</f>
        <v>0</v>
      </c>
    </row>
    <row r="79" spans="2:10" ht="20" customHeight="1" x14ac:dyDescent="0.3">
      <c r="F79" s="208" t="s">
        <v>72</v>
      </c>
      <c r="G79" s="221">
        <f t="shared" si="11"/>
        <v>0</v>
      </c>
      <c r="H79" s="220">
        <f t="shared" ref="H79:H84" si="12">+G79/$G$74</f>
        <v>0</v>
      </c>
    </row>
    <row r="80" spans="2:10" ht="20" customHeight="1" x14ac:dyDescent="0.3">
      <c r="F80" s="208" t="s">
        <v>73</v>
      </c>
      <c r="G80" s="221">
        <f t="shared" si="11"/>
        <v>0</v>
      </c>
      <c r="H80" s="220">
        <f t="shared" si="12"/>
        <v>0</v>
      </c>
    </row>
    <row r="81" spans="2:10" ht="20" customHeight="1" x14ac:dyDescent="0.3">
      <c r="F81" s="208" t="s">
        <v>74</v>
      </c>
      <c r="G81" s="221">
        <f t="shared" si="11"/>
        <v>0</v>
      </c>
      <c r="H81" s="220">
        <f t="shared" si="12"/>
        <v>0</v>
      </c>
    </row>
    <row r="82" spans="2:10" ht="20" customHeight="1" x14ac:dyDescent="0.3">
      <c r="F82" s="208" t="s">
        <v>75</v>
      </c>
      <c r="G82" s="221">
        <f t="shared" si="11"/>
        <v>0</v>
      </c>
      <c r="H82" s="220">
        <f t="shared" si="12"/>
        <v>0</v>
      </c>
    </row>
    <row r="83" spans="2:10" ht="20" customHeight="1" x14ac:dyDescent="0.3">
      <c r="F83" s="208" t="s">
        <v>76</v>
      </c>
      <c r="G83" s="221">
        <f t="shared" si="11"/>
        <v>0</v>
      </c>
      <c r="H83" s="220">
        <f t="shared" si="12"/>
        <v>0</v>
      </c>
    </row>
    <row r="84" spans="2:10" ht="20" customHeight="1" x14ac:dyDescent="0.3">
      <c r="F84" s="208" t="s">
        <v>146</v>
      </c>
      <c r="G84" s="223">
        <f>+SUM(G78:G83)</f>
        <v>0</v>
      </c>
      <c r="H84" s="220">
        <f t="shared" si="12"/>
        <v>0</v>
      </c>
    </row>
    <row r="85" spans="2:10" ht="13.5" thickBot="1" x14ac:dyDescent="0.35"/>
    <row r="86" spans="2:10" ht="30" customHeight="1" thickBot="1" x14ac:dyDescent="0.35">
      <c r="B86" s="191"/>
      <c r="C86" s="446" t="s">
        <v>149</v>
      </c>
      <c r="D86" s="446"/>
      <c r="E86" s="192"/>
      <c r="F86" s="192"/>
      <c r="G86" s="192"/>
      <c r="H86" s="192"/>
      <c r="I86" s="216"/>
      <c r="J86" s="193"/>
    </row>
    <row r="87" spans="2:10" ht="25.25" customHeight="1" x14ac:dyDescent="0.3">
      <c r="C87" s="208" t="s">
        <v>150</v>
      </c>
      <c r="D87" s="195">
        <f>SUMPRODUCT((LEFT(G21:G33, 8)="Roboshot") / (COUNTIF(G21:G33, G21:G33 &amp; "") + (G21:G33="")))</f>
        <v>0</v>
      </c>
      <c r="E87" s="447" t="s">
        <v>90</v>
      </c>
      <c r="F87" s="447"/>
      <c r="G87" s="218">
        <v>0.20833333333333334</v>
      </c>
    </row>
    <row r="88" spans="2:10" x14ac:dyDescent="0.3">
      <c r="C88" s="208"/>
      <c r="D88" s="195"/>
      <c r="E88" s="447" t="s">
        <v>97</v>
      </c>
      <c r="F88" s="447"/>
      <c r="G88" s="195">
        <v>12</v>
      </c>
      <c r="H88" s="219" t="s">
        <v>23</v>
      </c>
    </row>
    <row r="90" spans="2:10" x14ac:dyDescent="0.3">
      <c r="G90" s="222" t="s">
        <v>96</v>
      </c>
      <c r="H90" s="139" t="s">
        <v>23</v>
      </c>
    </row>
    <row r="91" spans="2:10" x14ac:dyDescent="0.3">
      <c r="F91" s="208" t="s">
        <v>77</v>
      </c>
      <c r="G91" s="221">
        <f xml:space="preserve"> SUMIF($G$21:$G$33, +F91,$X$21:$X$33)</f>
        <v>0</v>
      </c>
      <c r="H91" s="220">
        <f>+G91/$G$88</f>
        <v>0</v>
      </c>
    </row>
    <row r="92" spans="2:10" x14ac:dyDescent="0.3">
      <c r="F92" s="208" t="s">
        <v>78</v>
      </c>
      <c r="G92" s="221">
        <f xml:space="preserve"> SUMIF($G$21:$G$33, +F92,$X$21:$X$33)</f>
        <v>0</v>
      </c>
      <c r="H92" s="220">
        <f t="shared" ref="H92:H93" si="13">+G92/$G$88</f>
        <v>0</v>
      </c>
    </row>
    <row r="93" spans="2:10" x14ac:dyDescent="0.3">
      <c r="F93" s="208" t="s">
        <v>79</v>
      </c>
      <c r="G93" s="221">
        <f xml:space="preserve"> SUMIF($G$21:$G$33, +F93,$X$21:$X$33)</f>
        <v>0</v>
      </c>
      <c r="H93" s="220">
        <f t="shared" si="13"/>
        <v>0</v>
      </c>
    </row>
    <row r="94" spans="2:10" x14ac:dyDescent="0.3">
      <c r="F94" s="208" t="s">
        <v>146</v>
      </c>
      <c r="G94" s="223">
        <f>+SUM(G91:G93)</f>
        <v>0</v>
      </c>
      <c r="H94" s="220">
        <f>+G94/$G$88</f>
        <v>0</v>
      </c>
    </row>
  </sheetData>
  <mergeCells count="41">
    <mergeCell ref="E88:F88"/>
    <mergeCell ref="C72:D72"/>
    <mergeCell ref="E73:F73"/>
    <mergeCell ref="E74:F74"/>
    <mergeCell ref="E75:F75"/>
    <mergeCell ref="E76:F76"/>
    <mergeCell ref="C86:D86"/>
    <mergeCell ref="C58:D58"/>
    <mergeCell ref="E59:F59"/>
    <mergeCell ref="E60:F60"/>
    <mergeCell ref="E61:F61"/>
    <mergeCell ref="E87:F87"/>
    <mergeCell ref="E62:F62"/>
    <mergeCell ref="E47:G47"/>
    <mergeCell ref="E48:G48"/>
    <mergeCell ref="E49:G49"/>
    <mergeCell ref="E50:G50"/>
    <mergeCell ref="E52:G52"/>
    <mergeCell ref="E53:G53"/>
    <mergeCell ref="E54:G54"/>
    <mergeCell ref="E46:G46"/>
    <mergeCell ref="K9:L9"/>
    <mergeCell ref="K10:L10"/>
    <mergeCell ref="K11:L11"/>
    <mergeCell ref="K12:L12"/>
    <mergeCell ref="B14:S14"/>
    <mergeCell ref="C38:D38"/>
    <mergeCell ref="G38:H38"/>
    <mergeCell ref="I38:J38"/>
    <mergeCell ref="K38:L38"/>
    <mergeCell ref="E39:F39"/>
    <mergeCell ref="E40:F40"/>
    <mergeCell ref="E41:F41"/>
    <mergeCell ref="E44:G44"/>
    <mergeCell ref="E45:G45"/>
    <mergeCell ref="K8:L8"/>
    <mergeCell ref="B1:D4"/>
    <mergeCell ref="E2:R2"/>
    <mergeCell ref="E3:R4"/>
    <mergeCell ref="K6:L6"/>
    <mergeCell ref="K7:L7"/>
  </mergeCells>
  <conditionalFormatting sqref="H40:H41 J40:J41">
    <cfRule type="cellIs" dxfId="146" priority="13" operator="greaterThan">
      <formula>0.9</formula>
    </cfRule>
    <cfRule type="cellIs" dxfId="145" priority="14" operator="between">
      <formula>0.81</formula>
      <formula>0.89</formula>
    </cfRule>
    <cfRule type="cellIs" dxfId="144" priority="15" operator="lessThan">
      <formula>0.8</formula>
    </cfRule>
  </conditionalFormatting>
  <conditionalFormatting sqref="H61:H62">
    <cfRule type="cellIs" dxfId="143" priority="16" operator="greaterThan">
      <formula>0.9</formula>
    </cfRule>
    <cfRule type="cellIs" dxfId="142" priority="17" operator="between">
      <formula>0.81</formula>
      <formula>0.89</formula>
    </cfRule>
    <cfRule type="cellIs" dxfId="141" priority="18" operator="lessThan">
      <formula>0.8</formula>
    </cfRule>
  </conditionalFormatting>
  <conditionalFormatting sqref="H64:H70">
    <cfRule type="cellIs" dxfId="140" priority="19" operator="greaterThan">
      <formula>0.9</formula>
    </cfRule>
    <cfRule type="cellIs" dxfId="139" priority="20" operator="between">
      <formula>0.81</formula>
      <formula>0.89</formula>
    </cfRule>
    <cfRule type="cellIs" dxfId="138" priority="21" operator="lessThan">
      <formula>0.8</formula>
    </cfRule>
  </conditionalFormatting>
  <conditionalFormatting sqref="H75:H76">
    <cfRule type="cellIs" dxfId="137" priority="7" operator="greaterThan">
      <formula>0.9</formula>
    </cfRule>
    <cfRule type="cellIs" dxfId="136" priority="8" operator="between">
      <formula>0.81</formula>
      <formula>0.89</formula>
    </cfRule>
    <cfRule type="cellIs" dxfId="135" priority="9" operator="lessThan">
      <formula>0.8</formula>
    </cfRule>
  </conditionalFormatting>
  <conditionalFormatting sqref="H78:H84">
    <cfRule type="cellIs" dxfId="134" priority="10" operator="greaterThan">
      <formula>0.9</formula>
    </cfRule>
    <cfRule type="cellIs" dxfId="133" priority="11" operator="between">
      <formula>0.81</formula>
      <formula>0.89</formula>
    </cfRule>
    <cfRule type="cellIs" dxfId="132" priority="12" operator="lessThan">
      <formula>0.8</formula>
    </cfRule>
  </conditionalFormatting>
  <conditionalFormatting sqref="H91:H94">
    <cfRule type="cellIs" dxfId="131" priority="4" operator="greaterThan">
      <formula>0.9</formula>
    </cfRule>
    <cfRule type="cellIs" dxfId="130" priority="5" operator="between">
      <formula>0.81</formula>
      <formula>0.89</formula>
    </cfRule>
    <cfRule type="cellIs" dxfId="129" priority="6" operator="lessThan">
      <formula>0.8</formula>
    </cfRule>
  </conditionalFormatting>
  <conditionalFormatting sqref="L40:L41">
    <cfRule type="cellIs" dxfId="128" priority="1" operator="greaterThan">
      <formula>0.9</formula>
    </cfRule>
    <cfRule type="cellIs" dxfId="127" priority="2" operator="between">
      <formula>0.81</formula>
      <formula>0.89</formula>
    </cfRule>
    <cfRule type="cellIs" dxfId="126" priority="3" operator="lessThan">
      <formula>0.8</formula>
    </cfRule>
  </conditionalFormatting>
  <pageMargins left="0.25" right="0.25" top="0.75" bottom="0.75" header="0.3" footer="0.3"/>
  <pageSetup scale="36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5E96C831-6BED-4681-A84F-CA372697EF80}">
          <x14:formula1>
            <xm:f>Datos!$F$3:$F$41</xm:f>
          </x14:formula1>
          <xm:sqref>G28:G36 G21:G25</xm:sqref>
        </x14:dataValidation>
        <x14:dataValidation type="list" allowBlank="1" showInputMessage="1" showErrorMessage="1" xr:uid="{EE9034B8-F6C7-489B-8791-BAF4526E10FF}">
          <x14:formula1>
            <xm:f>Datos!$W$3:$W$12</xm:f>
          </x14:formula1>
          <xm:sqref>L28:L36 L21:L25</xm:sqref>
        </x14:dataValidation>
        <x14:dataValidation type="list" allowBlank="1" showInputMessage="1" showErrorMessage="1" xr:uid="{5B10A0FD-799C-44DE-8131-F1F6A0CEDB44}">
          <x14:formula1>
            <xm:f>Datos!$D$3:$D$27</xm:f>
          </x14:formula1>
          <xm:sqref>F28:F36 F21:F25</xm:sqref>
        </x14:dataValidation>
        <x14:dataValidation type="list" allowBlank="1" showInputMessage="1" showErrorMessage="1" xr:uid="{79BA10BB-7FDB-4A0F-9B28-2D6470BC0867}">
          <x14:formula1>
            <xm:f>Datos!$B$3:$B$8</xm:f>
          </x14:formula1>
          <xm:sqref>E28:E36 E21:E25</xm:sqref>
        </x14:dataValidation>
        <x14:dataValidation type="list" allowBlank="1" showInputMessage="1" showErrorMessage="1" xr:uid="{17DD4144-BE1C-4334-9B73-AE357004E0BD}">
          <x14:formula1>
            <xm:f>Datos!$H$3:$H$34</xm:f>
          </x14:formula1>
          <xm:sqref>D28:D35 D21:D24</xm:sqref>
        </x14:dataValidation>
        <x14:dataValidation type="list" allowBlank="1" showInputMessage="1" showErrorMessage="1" xr:uid="{25332245-8828-43A3-8546-DB304B5A3507}">
          <x14:formula1>
            <xm:f>Datos!$H$3:$H$26</xm:f>
          </x14:formula1>
          <xm:sqref>D25 D36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9FAF-A1EC-4754-834D-7D8AAB149866}">
  <sheetPr>
    <pageSetUpPr fitToPage="1"/>
  </sheetPr>
  <dimension ref="B1:X97"/>
  <sheetViews>
    <sheetView showGridLines="0" topLeftCell="A19" zoomScaleNormal="100" zoomScaleSheetLayoutView="50" workbookViewId="0">
      <pane xSplit="3" ySplit="2" topLeftCell="E42" activePane="bottomRight" state="frozen"/>
      <selection activeCell="K27" sqref="K27"/>
      <selection pane="topRight" activeCell="K27" sqref="K27"/>
      <selection pane="bottomLeft" activeCell="K27" sqref="K27"/>
      <selection pane="bottomRight" activeCell="J56" sqref="J56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+G42</f>
        <v>0.48263888888888884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+H43</f>
        <v>0.25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+G73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+G87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+G97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172</v>
      </c>
      <c r="E21" s="172" t="s">
        <v>6</v>
      </c>
      <c r="F21" s="172" t="s">
        <v>163</v>
      </c>
      <c r="G21" s="172"/>
      <c r="H21" s="174">
        <v>0.34027777777777779</v>
      </c>
      <c r="I21" s="174">
        <v>0.3888888888888889</v>
      </c>
      <c r="J21" s="175">
        <f>I21-H21</f>
        <v>4.8611111111111105E-2</v>
      </c>
      <c r="K21" s="178"/>
      <c r="L21" s="177"/>
      <c r="M21" s="178"/>
      <c r="N21" s="179">
        <v>1</v>
      </c>
      <c r="O21" s="186" t="s">
        <v>501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52.75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51</v>
      </c>
      <c r="E22" s="172" t="s">
        <v>6</v>
      </c>
      <c r="F22" s="172" t="s">
        <v>163</v>
      </c>
      <c r="G22" s="172" t="s">
        <v>211</v>
      </c>
      <c r="H22" s="174">
        <v>0.3923611111111111</v>
      </c>
      <c r="I22" s="174">
        <v>0.74305555555555558</v>
      </c>
      <c r="J22" s="175">
        <f>I22-H22</f>
        <v>0.35069444444444448</v>
      </c>
      <c r="K22" s="178"/>
      <c r="L22" s="177"/>
      <c r="M22" s="178"/>
      <c r="N22" s="179">
        <v>0</v>
      </c>
      <c r="O22" s="186" t="s">
        <v>533</v>
      </c>
      <c r="P22" s="181"/>
      <c r="Q22" s="174"/>
      <c r="R22" s="172"/>
      <c r="S22" s="175">
        <f t="shared" ref="S22:S27" si="0">+MOD(R22-Q22,1)</f>
        <v>0</v>
      </c>
      <c r="U22" s="182">
        <f>+IFERROR(VLOOKUP(D22,Datos!$R$3:$T$19,3,FALSE), "0")*N22</f>
        <v>0</v>
      </c>
      <c r="V22" s="183" t="str">
        <f t="shared" ref="V22:V27" si="1">IF(OR(D22="Perforación de Fortificación", D22="Perforación de Avance", D22="Perforación Desquinche"), K22*M22, "")</f>
        <v/>
      </c>
      <c r="W22" s="183" t="str">
        <f t="shared" ref="W22:W27" si="2">IF(D22="Extracción de Marina Disparo",K22,"")</f>
        <v/>
      </c>
      <c r="X22" s="183" t="str">
        <f t="shared" ref="X22:X27" si="3">IF(OR(D22="Shotcrete", D22="Pre Shotcrete"), K22, "")</f>
        <v/>
      </c>
    </row>
    <row r="23" spans="2:24" ht="42.65" customHeight="1" x14ac:dyDescent="0.3">
      <c r="B23" s="172">
        <v>3500</v>
      </c>
      <c r="C23" s="173" t="s">
        <v>532</v>
      </c>
      <c r="D23" s="173" t="s">
        <v>532</v>
      </c>
      <c r="E23" s="172" t="s">
        <v>6</v>
      </c>
      <c r="F23" s="172" t="s">
        <v>163</v>
      </c>
      <c r="G23" s="172" t="s">
        <v>204</v>
      </c>
      <c r="H23" s="174">
        <v>0.70833333333333337</v>
      </c>
      <c r="I23" s="174">
        <v>0.75</v>
      </c>
      <c r="J23" s="175">
        <f>I23-H23</f>
        <v>4.166666666666663E-2</v>
      </c>
      <c r="K23" s="178"/>
      <c r="L23" s="177"/>
      <c r="M23" s="178"/>
      <c r="N23" s="179">
        <v>0</v>
      </c>
      <c r="O23" s="186" t="s">
        <v>534</v>
      </c>
      <c r="P23" s="181"/>
      <c r="Q23" s="174"/>
      <c r="R23" s="172"/>
      <c r="S23" s="175">
        <f t="shared" si="0"/>
        <v>0</v>
      </c>
      <c r="U23" s="182">
        <f>+IFERROR(VLOOKUP(D23,Datos!$R$3:$T$19,3,FALSE), "0")*N23</f>
        <v>0</v>
      </c>
      <c r="V23" s="183" t="str">
        <f t="shared" si="1"/>
        <v/>
      </c>
      <c r="W23" s="183" t="str">
        <f t="shared" si="2"/>
        <v/>
      </c>
      <c r="X23" s="183" t="str">
        <f t="shared" si="3"/>
        <v/>
      </c>
    </row>
    <row r="24" spans="2:24" ht="55.75" customHeight="1" x14ac:dyDescent="0.3">
      <c r="B24" s="172">
        <v>3500</v>
      </c>
      <c r="C24" s="173" t="s">
        <v>532</v>
      </c>
      <c r="D24" s="173" t="s">
        <v>532</v>
      </c>
      <c r="E24" s="172" t="s">
        <v>6</v>
      </c>
      <c r="F24" s="172" t="s">
        <v>163</v>
      </c>
      <c r="G24" s="172" t="s">
        <v>206</v>
      </c>
      <c r="H24" s="174">
        <v>0.70833333333333337</v>
      </c>
      <c r="I24" s="174">
        <v>0.75</v>
      </c>
      <c r="J24" s="175">
        <f>I24-H24</f>
        <v>4.166666666666663E-2</v>
      </c>
      <c r="K24" s="178"/>
      <c r="L24" s="177"/>
      <c r="M24" s="178"/>
      <c r="N24" s="179">
        <v>0</v>
      </c>
      <c r="O24" s="186" t="s">
        <v>535</v>
      </c>
      <c r="P24" s="181"/>
      <c r="Q24" s="174"/>
      <c r="R24" s="174"/>
      <c r="S24" s="175"/>
      <c r="U24" s="182">
        <f>+IFERROR(VLOOKUP(D24,Datos!$R$3:$T$19,3,FALSE), "0")*N24</f>
        <v>0</v>
      </c>
      <c r="V24" s="183"/>
      <c r="W24" s="183"/>
      <c r="X24" s="183"/>
    </row>
    <row r="25" spans="2:24" ht="38" customHeight="1" x14ac:dyDescent="0.3">
      <c r="B25" s="172"/>
      <c r="C25" s="173" t="s">
        <v>510</v>
      </c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186"/>
      <c r="P25" s="181"/>
      <c r="Q25" s="174"/>
      <c r="R25" s="174"/>
      <c r="S25" s="175"/>
      <c r="U25" s="182">
        <f>+IFERROR(VLOOKUP(D25,Datos!$R$3:$T$19,3,FALSE), "0")*N25</f>
        <v>0</v>
      </c>
      <c r="V25" s="183"/>
      <c r="W25" s="183"/>
      <c r="X25" s="183"/>
    </row>
    <row r="26" spans="2:24" ht="37.75" customHeight="1" x14ac:dyDescent="0.3">
      <c r="B26" s="172"/>
      <c r="C26" s="173"/>
      <c r="D26" s="173"/>
      <c r="E26" s="172"/>
      <c r="F26" s="172"/>
      <c r="G26" s="172"/>
      <c r="H26" s="174"/>
      <c r="I26" s="174"/>
      <c r="J26" s="175"/>
      <c r="K26" s="178"/>
      <c r="L26" s="177"/>
      <c r="M26" s="178"/>
      <c r="N26" s="179"/>
      <c r="O26" s="186"/>
      <c r="P26" s="181"/>
      <c r="Q26" s="174"/>
      <c r="R26" s="174"/>
      <c r="S26" s="175"/>
      <c r="U26" s="182"/>
      <c r="V26" s="183" t="str">
        <f t="shared" si="1"/>
        <v/>
      </c>
      <c r="W26" s="183" t="str">
        <f t="shared" si="2"/>
        <v/>
      </c>
      <c r="X26" s="183" t="str">
        <f t="shared" si="3"/>
        <v/>
      </c>
    </row>
    <row r="27" spans="2:24" ht="38" customHeight="1" x14ac:dyDescent="0.3">
      <c r="B27" s="172"/>
      <c r="C27" s="173"/>
      <c r="D27" s="173"/>
      <c r="E27" s="172"/>
      <c r="F27" s="172"/>
      <c r="G27" s="172"/>
      <c r="H27" s="174"/>
      <c r="I27" s="174" t="s">
        <v>329</v>
      </c>
      <c r="J27" s="175">
        <f>MOD(I24-H21, 1)</f>
        <v>0.40972222222222221</v>
      </c>
      <c r="K27" s="178"/>
      <c r="L27" s="177"/>
      <c r="M27" s="178"/>
      <c r="N27" s="179"/>
      <c r="O27" s="186" t="s">
        <v>436</v>
      </c>
      <c r="P27" s="172"/>
      <c r="Q27" s="172"/>
      <c r="R27" s="172"/>
      <c r="S27" s="175">
        <f t="shared" si="0"/>
        <v>0</v>
      </c>
      <c r="U27" s="182">
        <f>SUM(U21:U26)</f>
        <v>0</v>
      </c>
      <c r="V27" s="183" t="str">
        <f t="shared" si="1"/>
        <v/>
      </c>
      <c r="W27" s="183" t="str">
        <f t="shared" si="2"/>
        <v/>
      </c>
      <c r="X27" s="183" t="str">
        <f t="shared" si="3"/>
        <v/>
      </c>
    </row>
    <row r="28" spans="2:24" x14ac:dyDescent="0.3">
      <c r="B28" s="185" t="s">
        <v>158</v>
      </c>
      <c r="C28" s="63" t="s">
        <v>194</v>
      </c>
      <c r="D28" s="63"/>
      <c r="E28" s="63"/>
      <c r="F28" s="63"/>
      <c r="G28" s="63"/>
      <c r="H28" s="63"/>
      <c r="I28" s="63"/>
      <c r="J28" s="64"/>
      <c r="K28" s="64"/>
      <c r="L28" s="171"/>
      <c r="M28" s="63"/>
      <c r="N28" s="64"/>
      <c r="O28" s="64"/>
      <c r="P28" s="63"/>
      <c r="Q28" s="63"/>
      <c r="R28" s="63"/>
      <c r="S28" s="64"/>
      <c r="U28" s="63"/>
      <c r="V28" s="64"/>
      <c r="W28" s="64"/>
      <c r="X28" s="64"/>
    </row>
    <row r="29" spans="2:24" ht="52" x14ac:dyDescent="0.3">
      <c r="B29" s="63" t="s">
        <v>3</v>
      </c>
      <c r="C29" s="63" t="s">
        <v>2</v>
      </c>
      <c r="D29" s="63" t="s">
        <v>5</v>
      </c>
      <c r="E29" s="63" t="s">
        <v>22</v>
      </c>
      <c r="F29" s="63" t="s">
        <v>139</v>
      </c>
      <c r="G29" s="63" t="s">
        <v>29</v>
      </c>
      <c r="H29" s="63" t="s">
        <v>121</v>
      </c>
      <c r="I29" s="63" t="s">
        <v>4</v>
      </c>
      <c r="J29" s="64" t="s">
        <v>122</v>
      </c>
      <c r="K29" s="64" t="s">
        <v>131</v>
      </c>
      <c r="L29" s="171" t="s">
        <v>123</v>
      </c>
      <c r="M29" s="63" t="s">
        <v>134</v>
      </c>
      <c r="N29" s="64" t="s">
        <v>24</v>
      </c>
      <c r="O29" s="64" t="s">
        <v>130</v>
      </c>
      <c r="P29" s="63" t="s">
        <v>132</v>
      </c>
      <c r="Q29" s="63" t="s">
        <v>121</v>
      </c>
      <c r="R29" s="63" t="s">
        <v>4</v>
      </c>
      <c r="S29" s="64" t="s">
        <v>137</v>
      </c>
      <c r="U29" s="63" t="s">
        <v>109</v>
      </c>
      <c r="V29" s="64" t="s">
        <v>87</v>
      </c>
      <c r="W29" s="64" t="s">
        <v>128</v>
      </c>
      <c r="X29" s="64" t="s">
        <v>128</v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 t="s">
        <v>110</v>
      </c>
      <c r="E30" s="172" t="s">
        <v>6</v>
      </c>
      <c r="F30" s="172" t="s">
        <v>164</v>
      </c>
      <c r="G30" s="172"/>
      <c r="H30" s="174">
        <v>0.33333333333333331</v>
      </c>
      <c r="I30" s="174">
        <v>0.83333333333333337</v>
      </c>
      <c r="J30" s="175">
        <f>I30-H30</f>
        <v>0.5</v>
      </c>
      <c r="K30" s="178"/>
      <c r="L30" s="177"/>
      <c r="M30" s="178"/>
      <c r="N30" s="179">
        <v>1</v>
      </c>
      <c r="O30" s="186" t="s">
        <v>428</v>
      </c>
      <c r="P30" s="225"/>
      <c r="Q30" s="174"/>
      <c r="R30" s="174"/>
      <c r="S30" s="175"/>
      <c r="U30" s="187">
        <f>+IFERROR(VLOOKUP(D30,Datos!$R$24:$T$40,3,FALSE), "0")*N30</f>
        <v>0</v>
      </c>
      <c r="V30" s="183" t="str">
        <f t="shared" ref="V30:V38" si="4">IF(OR(D30="Perforación de Fortificación", D30="Perforación de Avance", D30="Perforación Desquinche"), K30*M30, "")</f>
        <v/>
      </c>
      <c r="W30" s="183" t="str">
        <f>IF(D30="Extracción de Marina Disparo",K30,"")</f>
        <v/>
      </c>
      <c r="X30" s="183" t="str">
        <f t="shared" ref="X30:X38" si="5">IF(OR(D30="Shotcrete", D30="Pre Shotcrete"), K30, "")</f>
        <v/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73"/>
      <c r="Q31" s="174"/>
      <c r="R31" s="174"/>
      <c r="S31" s="175"/>
      <c r="U31" s="187">
        <f>+IFERROR(VLOOKUP(D31,Datos!$R$24:$T$40,3,FALSE), "0")*N31</f>
        <v>0</v>
      </c>
      <c r="V31" s="183" t="str">
        <f t="shared" si="4"/>
        <v/>
      </c>
      <c r="W31" s="183" t="str">
        <f>IF(D31="Extracción de Marina Disparo",K31,"")</f>
        <v/>
      </c>
      <c r="X31" s="183" t="str">
        <f t="shared" si="5"/>
        <v/>
      </c>
    </row>
    <row r="32" spans="2:24" ht="53.4" customHeight="1" x14ac:dyDescent="0.3">
      <c r="B32" s="172">
        <v>3700</v>
      </c>
      <c r="C32" s="173" t="str">
        <f>+C30</f>
        <v>Ciclo Minero 5,2 x 5,6 m
Galería Acceso Portal de Servicio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225"/>
      <c r="P32" s="181"/>
      <c r="Q32" s="174"/>
      <c r="R32" s="174"/>
      <c r="S32" s="175"/>
      <c r="U32" s="187">
        <f>+IFERROR(VLOOKUP(D32,Datos!$R$24:$T$40,3,FALSE), "0")*N32</f>
        <v>0</v>
      </c>
      <c r="V32" s="183" t="str">
        <f t="shared" si="4"/>
        <v/>
      </c>
      <c r="W32" s="183" t="str">
        <f t="shared" ref="W32:W38" si="6">IF(D32="Extracción de Marina Disparo",K32,"")</f>
        <v/>
      </c>
      <c r="X32" s="183" t="str">
        <f t="shared" si="5"/>
        <v/>
      </c>
    </row>
    <row r="33" spans="2:24" ht="38" customHeight="1" x14ac:dyDescent="0.3">
      <c r="B33" s="172">
        <v>3700</v>
      </c>
      <c r="C33" s="173" t="s">
        <v>397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72"/>
      <c r="Q33" s="172"/>
      <c r="R33" s="172"/>
      <c r="S33" s="175"/>
      <c r="U33" s="187">
        <f>+IFERROR(VLOOKUP(D33,Datos!$R$24:$T$40,3,FALSE), "0")*N33</f>
        <v>0</v>
      </c>
      <c r="V33" s="183" t="str">
        <f t="shared" si="4"/>
        <v/>
      </c>
      <c r="W33" s="183" t="str">
        <f t="shared" si="6"/>
        <v/>
      </c>
      <c r="X33" s="183"/>
    </row>
    <row r="34" spans="2:24" ht="38" customHeight="1" x14ac:dyDescent="0.3">
      <c r="B34" s="172">
        <v>3700</v>
      </c>
      <c r="C34" s="173" t="str">
        <f>+C33</f>
        <v>Fróntón Bodega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6"/>
      <c r="P34" s="181"/>
      <c r="Q34" s="174"/>
      <c r="R34" s="174"/>
      <c r="S34" s="175"/>
      <c r="U34" s="187">
        <f>+IFERROR(VLOOKUP(D34,Datos!$R$24:$T$40,3,FALSE), "0")*N34</f>
        <v>0</v>
      </c>
      <c r="V34" s="183" t="str">
        <f t="shared" si="4"/>
        <v/>
      </c>
      <c r="W34" s="183" t="str">
        <f t="shared" si="6"/>
        <v/>
      </c>
      <c r="X34" s="183" t="str">
        <f t="shared" si="5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225"/>
      <c r="P35" s="172"/>
      <c r="Q35" s="172"/>
      <c r="R35" s="172"/>
      <c r="S35" s="175">
        <f t="shared" ref="S35:S38" si="7">+MOD(R35-Q35,1)</f>
        <v>0</v>
      </c>
      <c r="U35" s="187">
        <f>+IFERROR(VLOOKUP(D35,Datos!$R$24:$T$40,3,FALSE), "0")*N35</f>
        <v>0</v>
      </c>
      <c r="V35" s="183" t="str">
        <f t="shared" si="4"/>
        <v/>
      </c>
      <c r="W35" s="183" t="str">
        <f t="shared" si="6"/>
        <v/>
      </c>
      <c r="X35" s="183" t="str">
        <f t="shared" si="5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7"/>
        <v>0</v>
      </c>
      <c r="U36" s="187"/>
      <c r="V36" s="183" t="str">
        <f t="shared" si="4"/>
        <v/>
      </c>
      <c r="W36" s="183" t="str">
        <f t="shared" si="6"/>
        <v/>
      </c>
      <c r="X36" s="183" t="str">
        <f t="shared" si="5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7"/>
        <v>0</v>
      </c>
      <c r="U37" s="187"/>
      <c r="V37" s="183" t="str">
        <f t="shared" si="4"/>
        <v/>
      </c>
      <c r="W37" s="183" t="str">
        <f t="shared" si="6"/>
        <v/>
      </c>
      <c r="X37" s="183" t="str">
        <f t="shared" si="5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 t="s">
        <v>329</v>
      </c>
      <c r="J38" s="175">
        <v>0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7"/>
        <v>0</v>
      </c>
      <c r="U38" s="182">
        <f>SUM(U30:U37)</f>
        <v>0</v>
      </c>
      <c r="V38" s="183" t="str">
        <f t="shared" si="4"/>
        <v/>
      </c>
      <c r="W38" s="183" t="str">
        <f t="shared" si="6"/>
        <v/>
      </c>
      <c r="X38" s="183" t="str">
        <f t="shared" si="5"/>
        <v/>
      </c>
    </row>
    <row r="39" spans="2:24" ht="15.65" customHeight="1" thickBot="1" x14ac:dyDescent="0.35">
      <c r="B39" s="190"/>
      <c r="C39" s="190"/>
      <c r="D39" s="190"/>
      <c r="E39" s="190"/>
      <c r="F39" s="190"/>
      <c r="G39" s="190"/>
      <c r="H39" s="190"/>
      <c r="J39" s="190"/>
      <c r="K39" s="190"/>
      <c r="L39" s="190"/>
      <c r="M39" s="190"/>
      <c r="N39" s="190"/>
      <c r="O39" s="190"/>
      <c r="P39" s="190"/>
      <c r="Q39" s="190"/>
      <c r="R39" s="190"/>
      <c r="S39" s="190"/>
    </row>
    <row r="40" spans="2:24" ht="30" customHeight="1" thickBot="1" x14ac:dyDescent="0.35">
      <c r="B40" s="191"/>
      <c r="C40" s="446" t="s">
        <v>64</v>
      </c>
      <c r="D40" s="446"/>
      <c r="E40" s="192"/>
      <c r="F40" s="192"/>
      <c r="G40" s="431">
        <v>3500</v>
      </c>
      <c r="H40" s="432"/>
      <c r="I40" s="431">
        <v>3700</v>
      </c>
      <c r="J40" s="432"/>
      <c r="K40" s="433" t="s">
        <v>146</v>
      </c>
      <c r="L40" s="434"/>
      <c r="M40" s="190"/>
      <c r="N40" s="190"/>
      <c r="O40" s="190"/>
      <c r="P40" s="190"/>
      <c r="Q40" s="190"/>
      <c r="R40" s="190"/>
      <c r="S40" s="190"/>
    </row>
    <row r="41" spans="2:24" ht="30" customHeight="1" x14ac:dyDescent="0.3">
      <c r="C41" s="194" t="s">
        <v>48</v>
      </c>
      <c r="D41" s="195">
        <f>SUMPRODUCT((LEFT(F21:F35, 1)="C") / (COUNTIF(F21:F35, F21:F35 &amp; "") + (F21:F35="")))</f>
        <v>0</v>
      </c>
      <c r="E41" s="447" t="s">
        <v>90</v>
      </c>
      <c r="F41" s="447"/>
      <c r="G41" s="196">
        <v>0.26041666666666669</v>
      </c>
      <c r="H41" s="197" t="s">
        <v>23</v>
      </c>
      <c r="I41" s="196">
        <v>0.26041666666666669</v>
      </c>
      <c r="J41" s="197" t="s">
        <v>23</v>
      </c>
      <c r="K41" s="198">
        <f>+G41</f>
        <v>0.26041666666666669</v>
      </c>
      <c r="L41" s="197" t="s">
        <v>23</v>
      </c>
      <c r="M41" s="190"/>
      <c r="N41" s="190"/>
      <c r="O41" s="190"/>
      <c r="P41" s="190"/>
      <c r="Q41" s="190"/>
      <c r="R41" s="190"/>
      <c r="S41" s="190"/>
    </row>
    <row r="42" spans="2:24" x14ac:dyDescent="0.3">
      <c r="C42" s="194" t="s">
        <v>49</v>
      </c>
      <c r="D42" s="195">
        <f>SUMPRODUCT((LEFT(F21:F35, 1)="O") / (COUNTIF(F21:F35, F21:F35 &amp; "") + (F21:F35="")))</f>
        <v>0</v>
      </c>
      <c r="E42" s="448" t="s">
        <v>198</v>
      </c>
      <c r="F42" s="448"/>
      <c r="G42" s="199">
        <f>SUM(J21:J26)</f>
        <v>0.48263888888888884</v>
      </c>
      <c r="H42" s="200">
        <f>+G42*24/($G$41*24)</f>
        <v>1.8533333333333331</v>
      </c>
      <c r="I42" s="199">
        <f>SUM(J30:J35)</f>
        <v>0.5</v>
      </c>
      <c r="J42" s="200">
        <f>+I42*24/($I$41*24)</f>
        <v>1.92</v>
      </c>
      <c r="K42" s="201">
        <f>AVERAGE(G42+I42)/2</f>
        <v>0.49131944444444442</v>
      </c>
      <c r="L42" s="200">
        <f>+K42*24/($K$41*24)</f>
        <v>1.8866666666666665</v>
      </c>
      <c r="M42" s="190"/>
      <c r="N42" s="190"/>
      <c r="O42" s="190"/>
      <c r="P42" s="190"/>
      <c r="Q42" s="190"/>
      <c r="R42" s="190"/>
      <c r="S42" s="190"/>
    </row>
    <row r="43" spans="2:24" ht="43.25" customHeight="1" thickBot="1" x14ac:dyDescent="0.35">
      <c r="E43" s="448" t="s">
        <v>94</v>
      </c>
      <c r="F43" s="448"/>
      <c r="G43" s="202"/>
      <c r="H43" s="203">
        <f>+AVERAGE(N21:N27)</f>
        <v>0.25</v>
      </c>
      <c r="I43" s="202"/>
      <c r="J43" s="203">
        <f>+AVERAGE(N30:N35)</f>
        <v>1</v>
      </c>
      <c r="K43" s="204"/>
      <c r="L43" s="203">
        <f>+AVERAGE(N21:N35)</f>
        <v>0.4</v>
      </c>
    </row>
    <row r="44" spans="2:24" ht="43.25" customHeight="1" x14ac:dyDescent="0.3">
      <c r="E44" s="205"/>
      <c r="F44" s="205"/>
      <c r="G44" s="206"/>
      <c r="H44" s="206"/>
      <c r="I44" s="137"/>
      <c r="J44" s="137"/>
      <c r="K44" s="137"/>
      <c r="L44" s="137"/>
    </row>
    <row r="45" spans="2:24" ht="43.25" customHeight="1" x14ac:dyDescent="0.3">
      <c r="E45" s="194"/>
      <c r="F45" s="194"/>
      <c r="G45" s="207"/>
      <c r="H45" s="208" t="s">
        <v>24</v>
      </c>
      <c r="I45" s="208" t="s">
        <v>199</v>
      </c>
      <c r="J45" s="208" t="s">
        <v>201</v>
      </c>
      <c r="K45" s="208" t="s">
        <v>404</v>
      </c>
      <c r="L45" s="345" t="s">
        <v>484</v>
      </c>
      <c r="M45" s="345" t="s">
        <v>485</v>
      </c>
      <c r="N45" s="208"/>
    </row>
    <row r="46" spans="2:24" ht="14.5" x14ac:dyDescent="0.35">
      <c r="E46" s="445" t="s">
        <v>174</v>
      </c>
      <c r="F46" s="445"/>
      <c r="G46" s="445"/>
      <c r="H46" s="209">
        <f>+U38</f>
        <v>0</v>
      </c>
      <c r="I46" s="298">
        <f>+H46*$J$46*$K$46</f>
        <v>0</v>
      </c>
      <c r="J46" s="298">
        <v>6.6</v>
      </c>
      <c r="K46" s="246">
        <v>3.42</v>
      </c>
      <c r="L46" s="344">
        <v>56.080975609756102</v>
      </c>
      <c r="M46" s="344">
        <f>+L46*K46*H46</f>
        <v>0</v>
      </c>
    </row>
    <row r="47" spans="2:24" ht="14.4" customHeight="1" x14ac:dyDescent="0.35">
      <c r="E47" s="445" t="s">
        <v>224</v>
      </c>
      <c r="F47" s="445"/>
      <c r="G47" s="445"/>
      <c r="H47" s="209"/>
      <c r="I47" s="298">
        <f>+J47*K47</f>
        <v>0</v>
      </c>
      <c r="J47" s="298">
        <f>1892/1000000</f>
        <v>1.892E-3</v>
      </c>
      <c r="K47" s="246">
        <f>+((15*4.4)*2.72)*0</f>
        <v>0</v>
      </c>
      <c r="L47" s="346">
        <v>1.6919982016368774E-2</v>
      </c>
      <c r="M47" s="344">
        <f>+L47*K47</f>
        <v>0</v>
      </c>
    </row>
    <row r="48" spans="2:24" ht="14.4" customHeight="1" x14ac:dyDescent="0.35">
      <c r="E48" s="445" t="s">
        <v>359</v>
      </c>
      <c r="F48" s="445"/>
      <c r="G48" s="445"/>
      <c r="H48" s="209"/>
      <c r="I48" s="298">
        <f>+J48*K48</f>
        <v>0</v>
      </c>
      <c r="J48" s="298">
        <v>0.340368</v>
      </c>
      <c r="K48" s="246">
        <v>0</v>
      </c>
      <c r="L48" s="346">
        <v>2.2358937544867188</v>
      </c>
      <c r="M48" s="344">
        <f>+L48*K48</f>
        <v>0</v>
      </c>
    </row>
    <row r="49" spans="2:13" ht="14.4" customHeight="1" x14ac:dyDescent="0.35">
      <c r="E49" s="445" t="s">
        <v>376</v>
      </c>
      <c r="F49" s="445"/>
      <c r="G49" s="445"/>
      <c r="H49" s="209">
        <v>0</v>
      </c>
      <c r="I49" s="298">
        <f>+H49*$J$49*$K$49</f>
        <v>0</v>
      </c>
      <c r="J49" s="298">
        <f>23683234/1000000</f>
        <v>23.683233999999999</v>
      </c>
      <c r="K49" s="226">
        <v>0</v>
      </c>
      <c r="L49" s="346">
        <v>254.98967741935485</v>
      </c>
      <c r="M49" s="344">
        <f>+L49*K49*H49</f>
        <v>0</v>
      </c>
    </row>
    <row r="50" spans="2:13" ht="14.4" customHeight="1" x14ac:dyDescent="0.35">
      <c r="E50" s="445" t="s">
        <v>236</v>
      </c>
      <c r="F50" s="445"/>
      <c r="G50" s="445"/>
      <c r="H50" s="209"/>
      <c r="I50" s="298">
        <f>+J50*K50</f>
        <v>0</v>
      </c>
      <c r="J50" s="298">
        <f>25508/1000000</f>
        <v>2.5507999999999999E-2</v>
      </c>
      <c r="K50" s="246">
        <f>7/(0.05)*0</f>
        <v>0</v>
      </c>
      <c r="L50" s="347" t="s">
        <v>486</v>
      </c>
      <c r="M50" s="349"/>
    </row>
    <row r="51" spans="2:13" ht="14.4" customHeight="1" x14ac:dyDescent="0.35">
      <c r="E51" s="445" t="s">
        <v>451</v>
      </c>
      <c r="F51" s="445"/>
      <c r="G51" s="445"/>
      <c r="H51" s="209">
        <v>1</v>
      </c>
      <c r="I51" s="298">
        <f>H51*J51</f>
        <v>7.9892054999999997</v>
      </c>
      <c r="J51" s="298">
        <f>15978411/2000000</f>
        <v>7.9892054999999997</v>
      </c>
      <c r="K51" s="246"/>
      <c r="L51" s="347" t="s">
        <v>486</v>
      </c>
      <c r="M51" s="344"/>
    </row>
    <row r="52" spans="2:13" ht="14.4" customHeight="1" x14ac:dyDescent="0.35">
      <c r="E52" s="445" t="s">
        <v>298</v>
      </c>
      <c r="F52" s="445"/>
      <c r="G52" s="445"/>
      <c r="H52" s="209"/>
      <c r="I52" s="210">
        <f>SUM(I46:I51)</f>
        <v>7.9892054999999997</v>
      </c>
      <c r="J52" s="214"/>
      <c r="K52" s="246"/>
      <c r="L52" s="344"/>
      <c r="M52" s="344"/>
    </row>
    <row r="53" spans="2:13" ht="14.4" customHeight="1" x14ac:dyDescent="0.35">
      <c r="E53" s="227"/>
      <c r="F53" s="227"/>
      <c r="G53" s="227"/>
      <c r="H53" s="209"/>
      <c r="I53" s="210"/>
      <c r="J53" s="214"/>
      <c r="K53" s="246"/>
      <c r="L53" s="344"/>
      <c r="M53" s="344"/>
    </row>
    <row r="54" spans="2:13" ht="14.4" customHeight="1" x14ac:dyDescent="0.35">
      <c r="E54" s="445" t="s">
        <v>175</v>
      </c>
      <c r="F54" s="445"/>
      <c r="G54" s="445"/>
      <c r="H54" s="209">
        <f>+U27</f>
        <v>0</v>
      </c>
      <c r="I54" s="210">
        <f>+H54*$J$54*$K$54</f>
        <v>0</v>
      </c>
      <c r="J54" s="211">
        <v>11.8</v>
      </c>
      <c r="K54" s="246">
        <v>4</v>
      </c>
      <c r="L54" s="344">
        <v>118.52055555555555</v>
      </c>
      <c r="M54" s="344">
        <f>+L54*K54*H54</f>
        <v>0</v>
      </c>
    </row>
    <row r="55" spans="2:13" ht="14.4" customHeight="1" x14ac:dyDescent="0.35">
      <c r="C55" s="146" t="s">
        <v>537</v>
      </c>
      <c r="E55" s="445" t="s">
        <v>225</v>
      </c>
      <c r="F55" s="445"/>
      <c r="G55" s="445"/>
      <c r="H55" s="209"/>
      <c r="I55" s="210">
        <f>+J55*K55</f>
        <v>0</v>
      </c>
      <c r="J55" s="296">
        <f>+J47*0</f>
        <v>0</v>
      </c>
      <c r="K55" s="215">
        <f>+((15*2.8)*2.72)*K26</f>
        <v>0</v>
      </c>
      <c r="L55" s="346">
        <v>1.6919982016368774E-2</v>
      </c>
      <c r="M55" s="344">
        <f>+L55*K55</f>
        <v>0</v>
      </c>
    </row>
    <row r="56" spans="2:13" ht="14.4" customHeight="1" x14ac:dyDescent="0.35">
      <c r="B56" s="373">
        <v>46219</v>
      </c>
      <c r="C56" s="363">
        <f>+'16-07A'!$I$59</f>
        <v>0.74266483739837397</v>
      </c>
      <c r="E56" s="445" t="s">
        <v>532</v>
      </c>
      <c r="F56" s="445"/>
      <c r="G56" s="445"/>
      <c r="H56" s="209">
        <f>100%-14.33%</f>
        <v>0.85670000000000002</v>
      </c>
      <c r="I56" s="298">
        <f>+H56*$J$56*$K$56</f>
        <v>11.545617533241121</v>
      </c>
      <c r="J56" s="298">
        <f>3653911/1000000</f>
        <v>3.6539109999999999</v>
      </c>
      <c r="K56" s="246">
        <f>SUM('Det. limpieza nieve.'!H3:H23)</f>
        <v>3.6883356385431063</v>
      </c>
      <c r="L56" s="347" t="s">
        <v>486</v>
      </c>
      <c r="M56" s="344"/>
    </row>
    <row r="57" spans="2:13" ht="14.4" customHeight="1" x14ac:dyDescent="0.35">
      <c r="B57" s="373">
        <v>46220</v>
      </c>
      <c r="C57" s="363">
        <f>+'17-07A'!$I$59</f>
        <v>1.1882637398373983</v>
      </c>
      <c r="E57" s="445" t="s">
        <v>297</v>
      </c>
      <c r="F57" s="445"/>
      <c r="G57" s="445"/>
      <c r="H57" s="209"/>
      <c r="I57" s="210">
        <f>SUM(I54:I56)</f>
        <v>11.545617533241121</v>
      </c>
      <c r="J57" s="214"/>
      <c r="K57" s="246"/>
      <c r="L57" s="347"/>
      <c r="M57" s="349"/>
    </row>
    <row r="58" spans="2:13" ht="14.4" customHeight="1" x14ac:dyDescent="0.3">
      <c r="B58" s="374" t="s">
        <v>538</v>
      </c>
      <c r="C58" s="364">
        <f>SUM(C56:C57)</f>
        <v>1.9309285772357723</v>
      </c>
      <c r="E58" s="227"/>
      <c r="F58" s="227"/>
      <c r="G58" s="227"/>
      <c r="H58" s="209"/>
      <c r="I58" s="210"/>
      <c r="J58" s="214"/>
      <c r="K58" s="246"/>
      <c r="L58" s="213"/>
      <c r="M58" s="352">
        <f>SUM(M46:M57)</f>
        <v>0</v>
      </c>
    </row>
    <row r="59" spans="2:13" ht="14.4" customHeight="1" x14ac:dyDescent="0.3">
      <c r="B59" s="374" t="s">
        <v>539</v>
      </c>
      <c r="C59" s="365">
        <v>0.14327743902439025</v>
      </c>
      <c r="L59" s="213"/>
    </row>
    <row r="60" spans="2:13" ht="7.75" customHeight="1" thickBot="1" x14ac:dyDescent="0.35"/>
    <row r="61" spans="2:13" ht="30" customHeight="1" thickBot="1" x14ac:dyDescent="0.35">
      <c r="B61" s="191"/>
      <c r="C61" s="446" t="s">
        <v>88</v>
      </c>
      <c r="D61" s="446"/>
      <c r="E61" s="192"/>
      <c r="F61" s="192"/>
      <c r="G61" s="192"/>
      <c r="H61" s="192"/>
      <c r="I61" s="216"/>
      <c r="J61" s="193"/>
    </row>
    <row r="62" spans="2:13" ht="38" customHeight="1" x14ac:dyDescent="0.3">
      <c r="C62" s="217" t="s">
        <v>89</v>
      </c>
      <c r="D62" s="195">
        <f>SUMPRODUCT((LEFT(G21:G35, 5)="Jumbo") / (COUNTIF(G21:G35, G21:G35 &amp; "") + (G21:G35="")))</f>
        <v>0</v>
      </c>
      <c r="E62" s="447" t="s">
        <v>90</v>
      </c>
      <c r="F62" s="447"/>
      <c r="G62" s="218">
        <v>0.20833333333333334</v>
      </c>
      <c r="I62" s="139"/>
      <c r="J62" s="190"/>
    </row>
    <row r="63" spans="2:13" ht="38" customHeight="1" x14ac:dyDescent="0.3">
      <c r="E63" s="447" t="s">
        <v>93</v>
      </c>
      <c r="F63" s="447"/>
      <c r="G63" s="195">
        <f>15000/(60)</f>
        <v>250</v>
      </c>
      <c r="H63" s="219" t="s">
        <v>143</v>
      </c>
      <c r="I63" s="139"/>
      <c r="J63" s="190"/>
    </row>
    <row r="64" spans="2:13" ht="38" customHeight="1" x14ac:dyDescent="0.3">
      <c r="E64" s="448" t="s">
        <v>91</v>
      </c>
      <c r="F64" s="448"/>
      <c r="G64" s="207" t="e">
        <f>+SUM(SUMIF($G$21:$G$35, "Jumbo*", $J$21:$J$35))/SUMPRODUCT((LEFT(G21:G35, 5)="Jumbo") / (COUNTIF(G21:G35, G21:G35 &amp; "") + (G21:G35="")))</f>
        <v>#DIV/0!</v>
      </c>
      <c r="H64" s="220" t="e">
        <f>+G64*24/($G$62*24)</f>
        <v>#DIV/0!</v>
      </c>
      <c r="I64" s="190"/>
      <c r="J64" s="190"/>
    </row>
    <row r="65" spans="2:10" ht="38" customHeight="1" x14ac:dyDescent="0.3">
      <c r="E65" s="448" t="s">
        <v>92</v>
      </c>
      <c r="F65" s="448"/>
      <c r="G65" s="221" t="e">
        <f>+SUM(V21:V35)/D62</f>
        <v>#DIV/0!</v>
      </c>
      <c r="H65" s="220" t="e">
        <f>+G65/G63</f>
        <v>#DIV/0!</v>
      </c>
      <c r="I65" s="190"/>
      <c r="J65" s="190"/>
    </row>
    <row r="66" spans="2:10" ht="38" customHeight="1" x14ac:dyDescent="0.3">
      <c r="G66" s="222" t="s">
        <v>87</v>
      </c>
      <c r="H66" s="139" t="s">
        <v>23</v>
      </c>
    </row>
    <row r="67" spans="2:10" ht="20" customHeight="1" x14ac:dyDescent="0.3">
      <c r="F67" s="208" t="s">
        <v>65</v>
      </c>
      <c r="G67" s="221">
        <f t="shared" ref="G67:G72" si="8" xml:space="preserve"> SUMIF($G$21:$G$35, +F67,$V$21:$V$35)</f>
        <v>0</v>
      </c>
      <c r="H67" s="220">
        <f t="shared" ref="H67:H72" si="9">+G67/$G$63</f>
        <v>0</v>
      </c>
    </row>
    <row r="68" spans="2:10" ht="20" customHeight="1" x14ac:dyDescent="0.3">
      <c r="F68" s="208" t="s">
        <v>66</v>
      </c>
      <c r="G68" s="221">
        <f t="shared" si="8"/>
        <v>0</v>
      </c>
      <c r="H68" s="220">
        <f t="shared" si="9"/>
        <v>0</v>
      </c>
    </row>
    <row r="69" spans="2:10" ht="20" customHeight="1" x14ac:dyDescent="0.3">
      <c r="F69" s="208" t="s">
        <v>67</v>
      </c>
      <c r="G69" s="221">
        <f t="shared" si="8"/>
        <v>0</v>
      </c>
      <c r="H69" s="220">
        <f t="shared" si="9"/>
        <v>0</v>
      </c>
    </row>
    <row r="70" spans="2:10" ht="20" customHeight="1" x14ac:dyDescent="0.3">
      <c r="F70" s="208" t="s">
        <v>68</v>
      </c>
      <c r="G70" s="221">
        <f t="shared" si="8"/>
        <v>0</v>
      </c>
      <c r="H70" s="220">
        <f t="shared" si="9"/>
        <v>0</v>
      </c>
    </row>
    <row r="71" spans="2:10" ht="20" customHeight="1" x14ac:dyDescent="0.3">
      <c r="F71" s="208" t="s">
        <v>69</v>
      </c>
      <c r="G71" s="221">
        <f t="shared" si="8"/>
        <v>0</v>
      </c>
      <c r="H71" s="220">
        <f t="shared" si="9"/>
        <v>0</v>
      </c>
    </row>
    <row r="72" spans="2:10" ht="20" customHeight="1" x14ac:dyDescent="0.3">
      <c r="F72" s="208" t="s">
        <v>70</v>
      </c>
      <c r="G72" s="221">
        <f t="shared" si="8"/>
        <v>0</v>
      </c>
      <c r="H72" s="220">
        <f t="shared" si="9"/>
        <v>0</v>
      </c>
    </row>
    <row r="73" spans="2:10" ht="20" customHeight="1" x14ac:dyDescent="0.3">
      <c r="F73" s="208" t="s">
        <v>146</v>
      </c>
      <c r="G73" s="223">
        <f>+SUM(G67:G72)</f>
        <v>0</v>
      </c>
      <c r="H73" s="220" t="e">
        <f>+G73/($G$63*$D$62)</f>
        <v>#DIV/0!</v>
      </c>
    </row>
    <row r="74" spans="2:10" ht="13.5" thickBot="1" x14ac:dyDescent="0.35"/>
    <row r="75" spans="2:10" ht="30" customHeight="1" thickBot="1" x14ac:dyDescent="0.35">
      <c r="B75" s="191"/>
      <c r="C75" s="446" t="s">
        <v>107</v>
      </c>
      <c r="D75" s="446"/>
      <c r="E75" s="192"/>
      <c r="F75" s="192"/>
      <c r="G75" s="192"/>
      <c r="H75" s="192"/>
      <c r="I75" s="216"/>
      <c r="J75" s="193"/>
    </row>
    <row r="76" spans="2:10" ht="38" customHeight="1" x14ac:dyDescent="0.3">
      <c r="C76" s="208" t="s">
        <v>95</v>
      </c>
      <c r="D76" s="195">
        <f>SUMPRODUCT((LEFT(G21:G35, 5)="Scoop") / (COUNTIF(G21:G35, G21:G35 &amp; "") + (G21:G35="")))</f>
        <v>1</v>
      </c>
      <c r="E76" s="447" t="s">
        <v>90</v>
      </c>
      <c r="F76" s="447"/>
      <c r="G76" s="218">
        <v>0.20833333333333334</v>
      </c>
      <c r="I76" s="139"/>
      <c r="J76" s="190"/>
    </row>
    <row r="77" spans="2:10" ht="38" customHeight="1" x14ac:dyDescent="0.3">
      <c r="C77" s="208" t="s">
        <v>145</v>
      </c>
      <c r="D77" s="195">
        <v>4.9000000000000004</v>
      </c>
      <c r="E77" s="447" t="s">
        <v>97</v>
      </c>
      <c r="F77" s="447"/>
      <c r="G77" s="195">
        <f>15000/(60)</f>
        <v>250</v>
      </c>
      <c r="H77" s="219" t="s">
        <v>23</v>
      </c>
      <c r="I77" s="139"/>
      <c r="J77" s="190"/>
    </row>
    <row r="78" spans="2:10" ht="38" customHeight="1" x14ac:dyDescent="0.3">
      <c r="E78" s="448" t="s">
        <v>98</v>
      </c>
      <c r="F78" s="448"/>
      <c r="G78" s="207">
        <f>+SUM(SUMIF($G$21:$G$35, "Scoop*", $J$21:$J$35))/SUMPRODUCT((LEFT(G21:G35, 5)="Scoop") / (COUNTIF(G21:G35, G21:G35 &amp; "") + (G21:G35="")))</f>
        <v>4.166666666666663E-2</v>
      </c>
      <c r="H78" s="220">
        <f>+G78*24/($G$76*24)</f>
        <v>0.19999999999999982</v>
      </c>
      <c r="I78" s="190"/>
      <c r="J78" s="190"/>
    </row>
    <row r="79" spans="2:10" ht="38" customHeight="1" x14ac:dyDescent="0.3">
      <c r="E79" s="448" t="s">
        <v>99</v>
      </c>
      <c r="F79" s="448"/>
      <c r="G79" s="221">
        <f>+SUM(W21:W35)*D77/D76</f>
        <v>0</v>
      </c>
      <c r="H79" s="220">
        <f>+G79/G77</f>
        <v>0</v>
      </c>
      <c r="I79" s="190"/>
      <c r="J79" s="190"/>
    </row>
    <row r="80" spans="2:10" ht="38" customHeight="1" x14ac:dyDescent="0.3">
      <c r="G80" s="222" t="s">
        <v>96</v>
      </c>
      <c r="H80" s="139" t="s">
        <v>23</v>
      </c>
    </row>
    <row r="81" spans="2:10" ht="20" customHeight="1" x14ac:dyDescent="0.3">
      <c r="F81" s="208" t="s">
        <v>71</v>
      </c>
      <c r="G81" s="221">
        <f t="shared" ref="G81:G86" si="10" xml:space="preserve"> SUMIF($G$21:$G$35, +F81,$W$21:$W$35)*$D$77</f>
        <v>0</v>
      </c>
      <c r="H81" s="220">
        <f>+G81/$G$77</f>
        <v>0</v>
      </c>
    </row>
    <row r="82" spans="2:10" ht="20" customHeight="1" x14ac:dyDescent="0.3">
      <c r="F82" s="208" t="s">
        <v>72</v>
      </c>
      <c r="G82" s="221">
        <f t="shared" si="10"/>
        <v>0</v>
      </c>
      <c r="H82" s="220">
        <f t="shared" ref="H82:H87" si="11">+G82/$G$77</f>
        <v>0</v>
      </c>
    </row>
    <row r="83" spans="2:10" ht="20" customHeight="1" x14ac:dyDescent="0.3">
      <c r="F83" s="208" t="s">
        <v>73</v>
      </c>
      <c r="G83" s="221">
        <f t="shared" si="10"/>
        <v>0</v>
      </c>
      <c r="H83" s="220">
        <f t="shared" si="11"/>
        <v>0</v>
      </c>
    </row>
    <row r="84" spans="2:10" ht="20" customHeight="1" x14ac:dyDescent="0.3">
      <c r="F84" s="208" t="s">
        <v>74</v>
      </c>
      <c r="G84" s="221">
        <f t="shared" si="10"/>
        <v>0</v>
      </c>
      <c r="H84" s="220">
        <f t="shared" si="11"/>
        <v>0</v>
      </c>
    </row>
    <row r="85" spans="2:10" ht="20" customHeight="1" x14ac:dyDescent="0.3">
      <c r="F85" s="208" t="s">
        <v>75</v>
      </c>
      <c r="G85" s="221">
        <f t="shared" si="10"/>
        <v>0</v>
      </c>
      <c r="H85" s="220">
        <f t="shared" si="11"/>
        <v>0</v>
      </c>
    </row>
    <row r="86" spans="2:10" ht="20" customHeight="1" x14ac:dyDescent="0.3">
      <c r="F86" s="208" t="s">
        <v>76</v>
      </c>
      <c r="G86" s="221">
        <f t="shared" si="10"/>
        <v>0</v>
      </c>
      <c r="H86" s="220">
        <f t="shared" si="11"/>
        <v>0</v>
      </c>
    </row>
    <row r="87" spans="2:10" ht="20" customHeight="1" x14ac:dyDescent="0.3">
      <c r="F87" s="208" t="s">
        <v>146</v>
      </c>
      <c r="G87" s="223">
        <f>+SUM(G81:G86)</f>
        <v>0</v>
      </c>
      <c r="H87" s="220">
        <f t="shared" si="11"/>
        <v>0</v>
      </c>
    </row>
    <row r="88" spans="2:10" ht="13.5" thickBot="1" x14ac:dyDescent="0.35"/>
    <row r="89" spans="2:10" ht="30" customHeight="1" thickBot="1" x14ac:dyDescent="0.35">
      <c r="B89" s="191"/>
      <c r="C89" s="446" t="s">
        <v>149</v>
      </c>
      <c r="D89" s="446"/>
      <c r="E89" s="192"/>
      <c r="F89" s="192"/>
      <c r="G89" s="192"/>
      <c r="H89" s="192"/>
      <c r="I89" s="216"/>
      <c r="J89" s="193"/>
    </row>
    <row r="90" spans="2:10" ht="25.25" customHeight="1" x14ac:dyDescent="0.3">
      <c r="C90" s="208" t="s">
        <v>150</v>
      </c>
      <c r="D90" s="195">
        <f>SUMPRODUCT((LEFT(G21:G35, 8)="Roboshot") / (COUNTIF(G21:G35, G21:G35 &amp; "") + (G21:G35="")))</f>
        <v>0</v>
      </c>
      <c r="E90" s="447" t="s">
        <v>90</v>
      </c>
      <c r="F90" s="447"/>
      <c r="G90" s="218">
        <v>0.20833333333333334</v>
      </c>
    </row>
    <row r="91" spans="2:10" x14ac:dyDescent="0.3">
      <c r="C91" s="208"/>
      <c r="D91" s="195"/>
      <c r="E91" s="447" t="s">
        <v>97</v>
      </c>
      <c r="F91" s="447"/>
      <c r="G91" s="195">
        <v>12</v>
      </c>
      <c r="H91" s="219" t="s">
        <v>23</v>
      </c>
    </row>
    <row r="93" spans="2:10" x14ac:dyDescent="0.3">
      <c r="G93" s="222" t="s">
        <v>96</v>
      </c>
      <c r="H93" s="139" t="s">
        <v>23</v>
      </c>
    </row>
    <row r="94" spans="2:10" x14ac:dyDescent="0.3">
      <c r="F94" s="208" t="s">
        <v>77</v>
      </c>
      <c r="G94" s="221">
        <f xml:space="preserve"> SUMIF($G$21:$G$35, +F94,$X$21:$X$35)</f>
        <v>0</v>
      </c>
      <c r="H94" s="220">
        <f>+G94/$G$91</f>
        <v>0</v>
      </c>
    </row>
    <row r="95" spans="2:10" x14ac:dyDescent="0.3">
      <c r="F95" s="208" t="s">
        <v>78</v>
      </c>
      <c r="G95" s="221">
        <f xml:space="preserve"> SUMIF($G$21:$G$35, +F95,$X$21:$X$35)</f>
        <v>0</v>
      </c>
      <c r="H95" s="220">
        <f t="shared" ref="H95:H96" si="12">+G95/$G$91</f>
        <v>0</v>
      </c>
    </row>
    <row r="96" spans="2:10" x14ac:dyDescent="0.3">
      <c r="F96" s="208" t="s">
        <v>79</v>
      </c>
      <c r="G96" s="221">
        <f xml:space="preserve"> SUMIF($G$21:$G$35, +F96,$X$21:$X$35)</f>
        <v>0</v>
      </c>
      <c r="H96" s="220">
        <f t="shared" si="12"/>
        <v>0</v>
      </c>
    </row>
    <row r="97" spans="6:8" x14ac:dyDescent="0.3">
      <c r="F97" s="208" t="s">
        <v>146</v>
      </c>
      <c r="G97" s="223">
        <f>+SUM(G94:G96)</f>
        <v>0</v>
      </c>
      <c r="H97" s="220">
        <f>+G97/$G$91</f>
        <v>0</v>
      </c>
    </row>
  </sheetData>
  <mergeCells count="42">
    <mergeCell ref="K8:L8"/>
    <mergeCell ref="E56:G56"/>
    <mergeCell ref="B1:D4"/>
    <mergeCell ref="E2:R2"/>
    <mergeCell ref="E3:R4"/>
    <mergeCell ref="K6:L6"/>
    <mergeCell ref="K7:L7"/>
    <mergeCell ref="E48:G48"/>
    <mergeCell ref="K9:L9"/>
    <mergeCell ref="K10:L10"/>
    <mergeCell ref="K11:L11"/>
    <mergeCell ref="K12:L12"/>
    <mergeCell ref="B14:S14"/>
    <mergeCell ref="C40:D40"/>
    <mergeCell ref="G40:H40"/>
    <mergeCell ref="I40:J40"/>
    <mergeCell ref="K40:L40"/>
    <mergeCell ref="E41:F41"/>
    <mergeCell ref="E42:F42"/>
    <mergeCell ref="E43:F43"/>
    <mergeCell ref="E46:G46"/>
    <mergeCell ref="E47:G47"/>
    <mergeCell ref="E65:F65"/>
    <mergeCell ref="E49:G49"/>
    <mergeCell ref="E50:G50"/>
    <mergeCell ref="E51:G51"/>
    <mergeCell ref="E52:G52"/>
    <mergeCell ref="E54:G54"/>
    <mergeCell ref="E55:G55"/>
    <mergeCell ref="E57:G57"/>
    <mergeCell ref="C61:D61"/>
    <mergeCell ref="E62:F62"/>
    <mergeCell ref="E63:F63"/>
    <mergeCell ref="E64:F64"/>
    <mergeCell ref="E90:F90"/>
    <mergeCell ref="E91:F91"/>
    <mergeCell ref="C75:D75"/>
    <mergeCell ref="E76:F76"/>
    <mergeCell ref="E77:F77"/>
    <mergeCell ref="E78:F78"/>
    <mergeCell ref="E79:F79"/>
    <mergeCell ref="C89:D89"/>
  </mergeCells>
  <conditionalFormatting sqref="H42:H43 J42:J43">
    <cfRule type="cellIs" dxfId="125" priority="13" operator="greaterThan">
      <formula>0.9</formula>
    </cfRule>
    <cfRule type="cellIs" dxfId="124" priority="14" operator="between">
      <formula>0.81</formula>
      <formula>0.89</formula>
    </cfRule>
    <cfRule type="cellIs" dxfId="123" priority="15" operator="lessThan">
      <formula>0.8</formula>
    </cfRule>
  </conditionalFormatting>
  <conditionalFormatting sqref="H64:H65">
    <cfRule type="cellIs" dxfId="122" priority="16" operator="greaterThan">
      <formula>0.9</formula>
    </cfRule>
    <cfRule type="cellIs" dxfId="121" priority="17" operator="between">
      <formula>0.81</formula>
      <formula>0.89</formula>
    </cfRule>
    <cfRule type="cellIs" dxfId="120" priority="18" operator="lessThan">
      <formula>0.8</formula>
    </cfRule>
  </conditionalFormatting>
  <conditionalFormatting sqref="H67:H73">
    <cfRule type="cellIs" dxfId="119" priority="19" operator="greaterThan">
      <formula>0.9</formula>
    </cfRule>
    <cfRule type="cellIs" dxfId="118" priority="20" operator="between">
      <formula>0.81</formula>
      <formula>0.89</formula>
    </cfRule>
    <cfRule type="cellIs" dxfId="117" priority="21" operator="lessThan">
      <formula>0.8</formula>
    </cfRule>
  </conditionalFormatting>
  <conditionalFormatting sqref="H78:H79">
    <cfRule type="cellIs" dxfId="116" priority="7" operator="greaterThan">
      <formula>0.9</formula>
    </cfRule>
    <cfRule type="cellIs" dxfId="115" priority="8" operator="between">
      <formula>0.81</formula>
      <formula>0.89</formula>
    </cfRule>
    <cfRule type="cellIs" dxfId="114" priority="9" operator="lessThan">
      <formula>0.8</formula>
    </cfRule>
  </conditionalFormatting>
  <conditionalFormatting sqref="H81:H87">
    <cfRule type="cellIs" dxfId="113" priority="10" operator="greaterThan">
      <formula>0.9</formula>
    </cfRule>
    <cfRule type="cellIs" dxfId="112" priority="11" operator="between">
      <formula>0.81</formula>
      <formula>0.89</formula>
    </cfRule>
    <cfRule type="cellIs" dxfId="111" priority="12" operator="lessThan">
      <formula>0.8</formula>
    </cfRule>
  </conditionalFormatting>
  <conditionalFormatting sqref="H94:H97">
    <cfRule type="cellIs" dxfId="110" priority="4" operator="greaterThan">
      <formula>0.9</formula>
    </cfRule>
    <cfRule type="cellIs" dxfId="109" priority="5" operator="between">
      <formula>0.81</formula>
      <formula>0.89</formula>
    </cfRule>
    <cfRule type="cellIs" dxfId="108" priority="6" operator="lessThan">
      <formula>0.8</formula>
    </cfRule>
  </conditionalFormatting>
  <conditionalFormatting sqref="L42:L43">
    <cfRule type="cellIs" dxfId="107" priority="1" operator="greaterThan">
      <formula>0.9</formula>
    </cfRule>
    <cfRule type="cellIs" dxfId="106" priority="2" operator="between">
      <formula>0.81</formula>
      <formula>0.89</formula>
    </cfRule>
    <cfRule type="cellIs" dxfId="105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6">
        <x14:dataValidation type="list" allowBlank="1" showInputMessage="1" showErrorMessage="1" xr:uid="{AA46731B-36AF-4B16-8DA8-E6D5EEC0B7B4}">
          <x14:formula1>
            <xm:f>Datos!$F$3:$F$41</xm:f>
          </x14:formula1>
          <xm:sqref>G30:G38 G21:G27</xm:sqref>
        </x14:dataValidation>
        <x14:dataValidation type="list" allowBlank="1" showInputMessage="1" showErrorMessage="1" xr:uid="{B94D6B56-B083-4F99-8FC9-36DD4A3F7225}">
          <x14:formula1>
            <xm:f>Datos!$W$3:$W$12</xm:f>
          </x14:formula1>
          <xm:sqref>L30:L38 L21:L27</xm:sqref>
        </x14:dataValidation>
        <x14:dataValidation type="list" allowBlank="1" showInputMessage="1" showErrorMessage="1" xr:uid="{81D25A8B-1088-4704-8466-0CE88F0B4451}">
          <x14:formula1>
            <xm:f>Datos!$D$3:$D$27</xm:f>
          </x14:formula1>
          <xm:sqref>F30:F38 F21:F27</xm:sqref>
        </x14:dataValidation>
        <x14:dataValidation type="list" allowBlank="1" showInputMessage="1" showErrorMessage="1" xr:uid="{E9467510-F758-4202-B907-F0265F765956}">
          <x14:formula1>
            <xm:f>Datos!$B$3:$B$8</xm:f>
          </x14:formula1>
          <xm:sqref>E30:E38 E21:E27</xm:sqref>
        </x14:dataValidation>
        <x14:dataValidation type="list" allowBlank="1" showInputMessage="1" showErrorMessage="1" xr:uid="{CAE8F12F-8BC7-453C-AF5E-E2B4AADEA5AC}">
          <x14:formula1>
            <xm:f>Datos!$H$3:$H$34</xm:f>
          </x14:formula1>
          <xm:sqref>D30:D37 D21:D26</xm:sqref>
        </x14:dataValidation>
        <x14:dataValidation type="list" allowBlank="1" showInputMessage="1" showErrorMessage="1" xr:uid="{B0C56207-7C60-426B-BA26-92FA06852032}">
          <x14:formula1>
            <xm:f>Datos!$H$3:$H$26</xm:f>
          </x14:formula1>
          <xm:sqref>D27 D38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93D85-D107-4861-A32D-C7347979E0D1}">
  <sheetPr>
    <pageSetUpPr fitToPage="1"/>
  </sheetPr>
  <dimension ref="B1:X95"/>
  <sheetViews>
    <sheetView showGridLines="0" topLeftCell="A19" zoomScale="115" zoomScaleNormal="115" zoomScaleSheetLayoutView="50" workbookViewId="0">
      <pane xSplit="3" ySplit="2" topLeftCell="E39" activePane="bottomRight" state="frozen"/>
      <selection activeCell="K27" sqref="K27"/>
      <selection pane="topRight" activeCell="K27" sqref="K27"/>
      <selection pane="bottomLeft" activeCell="K27" sqref="K27"/>
      <selection pane="bottomRight" activeCell="E45" sqref="E45:G55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6.90625" style="134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+G41</f>
        <v>0.20486111111111119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+H42</f>
        <v>0.25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">
        <v>493</v>
      </c>
      <c r="D21" s="173" t="s">
        <v>172</v>
      </c>
      <c r="E21" s="172" t="s">
        <v>6</v>
      </c>
      <c r="F21" s="172" t="s">
        <v>165</v>
      </c>
      <c r="G21" s="172"/>
      <c r="H21" s="174">
        <v>0.86458333333333337</v>
      </c>
      <c r="I21" s="174">
        <v>0.89236111111111116</v>
      </c>
      <c r="J21" s="175">
        <f t="shared" ref="J21:J23" si="0">MOD(I21-H21, 1)</f>
        <v>2.777777777777779E-2</v>
      </c>
      <c r="K21" s="178"/>
      <c r="L21" s="177"/>
      <c r="M21" s="178"/>
      <c r="N21" s="179">
        <v>1</v>
      </c>
      <c r="O21" s="186" t="s">
        <v>501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">
        <v>493</v>
      </c>
      <c r="D22" s="173" t="s">
        <v>51</v>
      </c>
      <c r="E22" s="172" t="s">
        <v>6</v>
      </c>
      <c r="F22" s="172" t="s">
        <v>165</v>
      </c>
      <c r="G22" s="172"/>
      <c r="H22" s="174">
        <v>0.94097222222222221</v>
      </c>
      <c r="I22" s="174">
        <v>1.7361111111111112E-2</v>
      </c>
      <c r="J22" s="175">
        <f t="shared" si="0"/>
        <v>7.6388888888888951E-2</v>
      </c>
      <c r="K22" s="178"/>
      <c r="L22" s="177"/>
      <c r="M22" s="178"/>
      <c r="N22" s="179">
        <v>0</v>
      </c>
      <c r="O22" s="186" t="s">
        <v>506</v>
      </c>
      <c r="P22" s="181"/>
      <c r="Q22" s="174"/>
      <c r="R22" s="172"/>
      <c r="S22" s="175">
        <f t="shared" ref="S22:S26" si="1">+MOD(R22-Q22,1)</f>
        <v>0</v>
      </c>
      <c r="U22" s="182">
        <f>+IFERROR(VLOOKUP(D22,Datos!$R$3:$T$19,3,FALSE), "0")*N22</f>
        <v>0</v>
      </c>
      <c r="V22" s="183" t="str">
        <f t="shared" ref="V22:V26" si="2">IF(OR(D22="Perforación de Fortificación", D22="Perforación de Avance", D22="Perforación Desquinche"), K22*M22, "")</f>
        <v/>
      </c>
      <c r="W22" s="183" t="str">
        <f t="shared" ref="W22:W26" si="3">IF(D22="Extracción de Marina Disparo",K22,"")</f>
        <v/>
      </c>
      <c r="X22" s="183" t="str">
        <f t="shared" ref="X22:X26" si="4">IF(OR(D22="Shotcrete", D22="Pre Shotcrete"), K22, "")</f>
        <v/>
      </c>
    </row>
    <row r="23" spans="2:24" ht="38" customHeight="1" x14ac:dyDescent="0.3">
      <c r="B23" s="172">
        <v>3500</v>
      </c>
      <c r="C23" s="173" t="s">
        <v>493</v>
      </c>
      <c r="D23" s="173" t="s">
        <v>51</v>
      </c>
      <c r="E23" s="172" t="s">
        <v>6</v>
      </c>
      <c r="F23" s="172" t="s">
        <v>165</v>
      </c>
      <c r="G23" s="172"/>
      <c r="H23" s="174">
        <v>2.4305555555555556E-2</v>
      </c>
      <c r="I23" s="174">
        <v>0.125</v>
      </c>
      <c r="J23" s="175">
        <f t="shared" si="0"/>
        <v>0.10069444444444445</v>
      </c>
      <c r="K23" s="178"/>
      <c r="L23" s="177"/>
      <c r="M23" s="178"/>
      <c r="N23" s="179">
        <v>0</v>
      </c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">
        <v>493</v>
      </c>
      <c r="D24" s="173" t="s">
        <v>110</v>
      </c>
      <c r="E24" s="172" t="s">
        <v>6</v>
      </c>
      <c r="F24" s="172" t="s">
        <v>165</v>
      </c>
      <c r="G24" s="172"/>
      <c r="H24" s="174">
        <v>0.1736111111111111</v>
      </c>
      <c r="I24" s="174">
        <v>0.24652777777777779</v>
      </c>
      <c r="J24" s="175">
        <f t="shared" ref="J24" si="5">MOD(I24-H24, 1)</f>
        <v>7.2916666666666685E-2</v>
      </c>
      <c r="K24" s="178"/>
      <c r="L24" s="177"/>
      <c r="M24" s="178"/>
      <c r="N24" s="179">
        <v>0</v>
      </c>
      <c r="O24" s="186" t="s">
        <v>536</v>
      </c>
      <c r="P24" s="181"/>
      <c r="Q24" s="174"/>
      <c r="R24" s="172"/>
      <c r="S24" s="175">
        <f t="shared" ref="S24" si="6">+MOD(R24-Q24,1)</f>
        <v>0</v>
      </c>
      <c r="U24" s="182">
        <f>+IFERROR(VLOOKUP(D24,Datos!$R$3:$T$19,3,FALSE), "0")*N24</f>
        <v>0</v>
      </c>
      <c r="V24" s="183" t="str">
        <f t="shared" ref="V24" si="7">IF(OR(D24="Perforación de Fortificación", D24="Perforación de Avance", D24="Perforación Desquinche"), K24*M24, "")</f>
        <v/>
      </c>
      <c r="W24" s="183" t="str">
        <f t="shared" ref="W24" si="8">IF(D24="Extracción de Marina Disparo",K24,"")</f>
        <v/>
      </c>
      <c r="X24" s="183" t="str">
        <f t="shared" ref="X24" si="9">IF(OR(D24="Shotcrete", D24="Pre Shotcrete"), K24, "")</f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186"/>
      <c r="P25" s="181"/>
      <c r="Q25" s="174"/>
      <c r="R25" s="172"/>
      <c r="S25" s="175">
        <f t="shared" si="1"/>
        <v>0</v>
      </c>
      <c r="U25" s="182">
        <f>+IFERROR(VLOOKUP(D25,Datos!$R$3:$T$19,3,FALSE), "0")*N25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 t="s">
        <v>329</v>
      </c>
      <c r="J26" s="175">
        <f>MOD(I24-H21, 1)</f>
        <v>0.38194444444444442</v>
      </c>
      <c r="K26" s="178"/>
      <c r="L26" s="177"/>
      <c r="M26" s="178"/>
      <c r="N26" s="179"/>
      <c r="O26" s="186" t="s">
        <v>436</v>
      </c>
      <c r="P26" s="172"/>
      <c r="Q26" s="172"/>
      <c r="R26" s="172"/>
      <c r="S26" s="175">
        <f t="shared" si="1"/>
        <v>0</v>
      </c>
      <c r="U26" s="182">
        <f>SUM(U21:U23)</f>
        <v>0</v>
      </c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 t="s">
        <v>110</v>
      </c>
      <c r="E29" s="172" t="s">
        <v>6</v>
      </c>
      <c r="F29" s="172" t="s">
        <v>166</v>
      </c>
      <c r="G29" s="172"/>
      <c r="H29" s="174">
        <v>0.83333333333333337</v>
      </c>
      <c r="I29" s="174">
        <v>1.3333333333333333</v>
      </c>
      <c r="J29" s="175">
        <f>I29-H29</f>
        <v>0.49999999999999989</v>
      </c>
      <c r="K29" s="178"/>
      <c r="L29" s="177"/>
      <c r="M29" s="178"/>
      <c r="N29" s="179">
        <v>1</v>
      </c>
      <c r="O29" s="186" t="s">
        <v>428</v>
      </c>
      <c r="P29" s="225"/>
      <c r="Q29" s="174"/>
      <c r="R29" s="174"/>
      <c r="S29" s="175"/>
      <c r="U29" s="187">
        <f>+IFERROR(VLOOKUP(D29,Datos!$R$24:$T$40,3,FALSE), "0")*N29</f>
        <v>0</v>
      </c>
      <c r="V29" s="183" t="str">
        <f t="shared" ref="V29:V37" si="10">IF(OR(D29="Perforación de Fortificación", D29="Perforación de Avance", D29="Perforación Desquinche"), K29*M29, "")</f>
        <v/>
      </c>
      <c r="W29" s="183" t="str">
        <f>IF(D29="Extracción de Marina Disparo",K29,"")</f>
        <v/>
      </c>
      <c r="X29" s="183" t="str">
        <f t="shared" ref="X29:X37" si="11">IF(OR(D29="Shotcrete", D29="Pre Shotcrete"), K29, "")</f>
        <v/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73"/>
      <c r="Q30" s="174"/>
      <c r="R30" s="174"/>
      <c r="S30" s="175"/>
      <c r="U30" s="187">
        <f>+IFERROR(VLOOKUP(D30,Datos!$R$24:$T$40,3,FALSE), "0")*N30</f>
        <v>0</v>
      </c>
      <c r="V30" s="183" t="str">
        <f t="shared" si="10"/>
        <v/>
      </c>
      <c r="W30" s="183" t="str">
        <f>IF(D30="Extracción de Marina Disparo",K30,"")</f>
        <v/>
      </c>
      <c r="X30" s="183" t="str">
        <f t="shared" si="11"/>
        <v/>
      </c>
    </row>
    <row r="31" spans="2:24" ht="53.4" customHeight="1" x14ac:dyDescent="0.3">
      <c r="B31" s="172">
        <v>3700</v>
      </c>
      <c r="C31" s="173" t="str">
        <f>+C29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81"/>
      <c r="Q31" s="174"/>
      <c r="R31" s="174"/>
      <c r="S31" s="175"/>
      <c r="U31" s="187">
        <f>+IFERROR(VLOOKUP(D31,Datos!$R$24:$T$40,3,FALSE), "0")*N31</f>
        <v>0</v>
      </c>
      <c r="V31" s="183" t="str">
        <f t="shared" si="10"/>
        <v/>
      </c>
      <c r="W31" s="183" t="str">
        <f t="shared" ref="W31:W37" si="12">IF(D31="Extracción de Marina Disparo",K31,"")</f>
        <v/>
      </c>
      <c r="X31" s="183" t="str">
        <f t="shared" si="11"/>
        <v/>
      </c>
    </row>
    <row r="32" spans="2:24" ht="38" customHeight="1" x14ac:dyDescent="0.3">
      <c r="B32" s="172">
        <v>3700</v>
      </c>
      <c r="C32" s="173" t="s">
        <v>397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72"/>
      <c r="Q32" s="172"/>
      <c r="R32" s="172"/>
      <c r="S32" s="175"/>
      <c r="U32" s="187">
        <f>+IFERROR(VLOOKUP(D32,Datos!$R$24:$T$40,3,FALSE), "0")*N32</f>
        <v>0</v>
      </c>
      <c r="V32" s="183" t="str">
        <f t="shared" si="10"/>
        <v/>
      </c>
      <c r="W32" s="183" t="str">
        <f t="shared" si="12"/>
        <v/>
      </c>
      <c r="X32" s="183"/>
    </row>
    <row r="33" spans="2:24" ht="38" customHeight="1" x14ac:dyDescent="0.3">
      <c r="B33" s="172">
        <v>3700</v>
      </c>
      <c r="C33" s="173" t="str">
        <f>+C32</f>
        <v>Fróntón Bodega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81"/>
      <c r="Q33" s="174"/>
      <c r="R33" s="174"/>
      <c r="S33" s="175"/>
      <c r="U33" s="187">
        <f>+IFERROR(VLOOKUP(D33,Datos!$R$24:$T$40,3,FALSE), "0")*N33</f>
        <v>0</v>
      </c>
      <c r="V33" s="183" t="str">
        <f t="shared" si="10"/>
        <v/>
      </c>
      <c r="W33" s="183" t="str">
        <f t="shared" si="12"/>
        <v/>
      </c>
      <c r="X33" s="183" t="str">
        <f t="shared" si="11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225"/>
      <c r="P34" s="172"/>
      <c r="Q34" s="172"/>
      <c r="R34" s="172"/>
      <c r="S34" s="175">
        <f t="shared" ref="S34:S37" si="13">+MOD(R34-Q34,1)</f>
        <v>0</v>
      </c>
      <c r="U34" s="187">
        <f>+IFERROR(VLOOKUP(D34,Datos!$R$24:$T$40,3,FALSE), "0")*N34</f>
        <v>0</v>
      </c>
      <c r="V34" s="183" t="str">
        <f t="shared" si="10"/>
        <v/>
      </c>
      <c r="W34" s="183" t="str">
        <f t="shared" si="12"/>
        <v/>
      </c>
      <c r="X34" s="183" t="str">
        <f t="shared" si="11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13"/>
        <v>0</v>
      </c>
      <c r="U35" s="187"/>
      <c r="V35" s="183" t="str">
        <f t="shared" si="10"/>
        <v/>
      </c>
      <c r="W35" s="183" t="str">
        <f t="shared" si="12"/>
        <v/>
      </c>
      <c r="X35" s="183" t="str">
        <f t="shared" si="11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13"/>
        <v>0</v>
      </c>
      <c r="U36" s="187"/>
      <c r="V36" s="183" t="str">
        <f t="shared" si="10"/>
        <v/>
      </c>
      <c r="W36" s="183" t="str">
        <f t="shared" si="12"/>
        <v/>
      </c>
      <c r="X36" s="183" t="str">
        <f t="shared" si="11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 t="s">
        <v>329</v>
      </c>
      <c r="J37" s="175"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13"/>
        <v>0</v>
      </c>
      <c r="U37" s="182">
        <f>SUM(U29:U36)</f>
        <v>0</v>
      </c>
      <c r="V37" s="183" t="str">
        <f t="shared" si="10"/>
        <v/>
      </c>
      <c r="W37" s="183" t="str">
        <f t="shared" si="12"/>
        <v/>
      </c>
      <c r="X37" s="183" t="str">
        <f t="shared" si="11"/>
        <v/>
      </c>
    </row>
    <row r="38" spans="2:24" ht="15.65" customHeight="1" thickBot="1" x14ac:dyDescent="0.35">
      <c r="B38" s="190"/>
      <c r="C38" s="190"/>
      <c r="D38" s="190"/>
      <c r="E38" s="190"/>
      <c r="F38" s="190"/>
      <c r="G38" s="190"/>
      <c r="H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</row>
    <row r="39" spans="2:24" ht="30" customHeight="1" thickBot="1" x14ac:dyDescent="0.35">
      <c r="B39" s="191"/>
      <c r="C39" s="446" t="s">
        <v>64</v>
      </c>
      <c r="D39" s="446"/>
      <c r="E39" s="192"/>
      <c r="F39" s="192"/>
      <c r="G39" s="431">
        <v>3500</v>
      </c>
      <c r="H39" s="432"/>
      <c r="I39" s="431">
        <v>3700</v>
      </c>
      <c r="J39" s="432"/>
      <c r="K39" s="433" t="s">
        <v>146</v>
      </c>
      <c r="L39" s="434"/>
      <c r="M39" s="190"/>
      <c r="N39" s="190"/>
      <c r="O39" s="190"/>
      <c r="P39" s="190"/>
      <c r="Q39" s="190"/>
      <c r="R39" s="190"/>
      <c r="S39" s="190"/>
    </row>
    <row r="40" spans="2:24" ht="30" customHeight="1" x14ac:dyDescent="0.3">
      <c r="C40" s="194" t="s">
        <v>48</v>
      </c>
      <c r="D40" s="195">
        <f>SUMPRODUCT((LEFT(F21:F34, 1)="C") / (COUNTIF(F21:F34, F21:F34 &amp; "") + (F21:F34="")))</f>
        <v>0</v>
      </c>
      <c r="E40" s="447" t="s">
        <v>90</v>
      </c>
      <c r="F40" s="447"/>
      <c r="G40" s="196">
        <v>0.26041666666666669</v>
      </c>
      <c r="H40" s="197" t="s">
        <v>23</v>
      </c>
      <c r="I40" s="196">
        <v>0.26041666666666669</v>
      </c>
      <c r="J40" s="197" t="s">
        <v>23</v>
      </c>
      <c r="K40" s="198">
        <f>+G40</f>
        <v>0.26041666666666669</v>
      </c>
      <c r="L40" s="197" t="s">
        <v>23</v>
      </c>
      <c r="M40" s="190"/>
      <c r="N40" s="190"/>
      <c r="O40" s="190"/>
      <c r="P40" s="190"/>
      <c r="Q40" s="190"/>
      <c r="R40" s="190"/>
      <c r="S40" s="190"/>
    </row>
    <row r="41" spans="2:24" x14ac:dyDescent="0.3">
      <c r="C41" s="194" t="s">
        <v>49</v>
      </c>
      <c r="D41" s="195">
        <f>SUMPRODUCT((LEFT(F21:F34, 1)="O") / (COUNTIF(F21:F34, F21:F34 &amp; "") + (F21:F34="")))</f>
        <v>0</v>
      </c>
      <c r="E41" s="448" t="s">
        <v>198</v>
      </c>
      <c r="F41" s="448"/>
      <c r="G41" s="199">
        <f>SUM(J21:J23)</f>
        <v>0.20486111111111119</v>
      </c>
      <c r="H41" s="200">
        <f>+G41*24/($G$40*24)</f>
        <v>0.78666666666666696</v>
      </c>
      <c r="I41" s="199">
        <f>SUM(J29:J34)</f>
        <v>0.49999999999999989</v>
      </c>
      <c r="J41" s="200">
        <f>+I41*24/($I$40*24)</f>
        <v>1.9199999999999995</v>
      </c>
      <c r="K41" s="201">
        <f>AVERAGE(G41+I41)/2</f>
        <v>0.35243055555555552</v>
      </c>
      <c r="L41" s="200">
        <f>+K41*24/($K$40*24)</f>
        <v>1.3533333333333331</v>
      </c>
      <c r="M41" s="190"/>
      <c r="N41" s="190"/>
      <c r="O41" s="190"/>
      <c r="P41" s="190"/>
      <c r="Q41" s="190"/>
      <c r="R41" s="190"/>
      <c r="S41" s="190"/>
    </row>
    <row r="42" spans="2:24" ht="43.25" customHeight="1" thickBot="1" x14ac:dyDescent="0.35">
      <c r="E42" s="448" t="s">
        <v>94</v>
      </c>
      <c r="F42" s="448"/>
      <c r="G42" s="202"/>
      <c r="H42" s="203">
        <f>+AVERAGE(N21:N26)</f>
        <v>0.25</v>
      </c>
      <c r="I42" s="202"/>
      <c r="J42" s="203">
        <f>+AVERAGE(N29:N34)</f>
        <v>1</v>
      </c>
      <c r="K42" s="204"/>
      <c r="L42" s="203">
        <f>+AVERAGE(N21:N34)</f>
        <v>0.4</v>
      </c>
    </row>
    <row r="43" spans="2:24" ht="43.25" customHeight="1" x14ac:dyDescent="0.3">
      <c r="E43" s="205"/>
      <c r="F43" s="205"/>
      <c r="G43" s="206"/>
      <c r="H43" s="206"/>
      <c r="I43" s="137"/>
      <c r="J43" s="137"/>
      <c r="K43" s="137"/>
      <c r="L43" s="137"/>
    </row>
    <row r="44" spans="2:24" ht="43.25" customHeight="1" x14ac:dyDescent="0.3">
      <c r="E44" s="194"/>
      <c r="F44" s="194"/>
      <c r="G44" s="207"/>
      <c r="H44" s="208" t="s">
        <v>24</v>
      </c>
      <c r="I44" s="208" t="s">
        <v>199</v>
      </c>
      <c r="J44" s="208" t="s">
        <v>201</v>
      </c>
      <c r="K44" s="208" t="s">
        <v>404</v>
      </c>
      <c r="L44" s="345" t="s">
        <v>484</v>
      </c>
      <c r="M44" s="345" t="s">
        <v>485</v>
      </c>
      <c r="N44" s="208"/>
    </row>
    <row r="45" spans="2:24" ht="14.5" x14ac:dyDescent="0.35">
      <c r="E45" s="445" t="s">
        <v>174</v>
      </c>
      <c r="F45" s="445"/>
      <c r="G45" s="445"/>
      <c r="H45" s="209">
        <f>+U37</f>
        <v>0</v>
      </c>
      <c r="I45" s="298">
        <f>+H45*$J$45*$K$45</f>
        <v>0</v>
      </c>
      <c r="J45" s="298">
        <v>6.6</v>
      </c>
      <c r="K45" s="246">
        <v>3.42</v>
      </c>
      <c r="L45" s="344">
        <v>56.080975609756102</v>
      </c>
      <c r="M45" s="344">
        <f>+L45*K45*H45</f>
        <v>0</v>
      </c>
    </row>
    <row r="46" spans="2:24" ht="14.4" customHeight="1" x14ac:dyDescent="0.35">
      <c r="E46" s="445" t="s">
        <v>224</v>
      </c>
      <c r="F46" s="445"/>
      <c r="G46" s="445"/>
      <c r="H46" s="209"/>
      <c r="I46" s="298">
        <f>+J46*K46</f>
        <v>0</v>
      </c>
      <c r="J46" s="298">
        <f>1892/1000000</f>
        <v>1.892E-3</v>
      </c>
      <c r="K46" s="246">
        <f>+((15*4.4)*2.72)*0</f>
        <v>0</v>
      </c>
      <c r="L46" s="346">
        <v>1.6919982016368774E-2</v>
      </c>
      <c r="M46" s="344">
        <f>+L46*K46</f>
        <v>0</v>
      </c>
    </row>
    <row r="47" spans="2:24" ht="14.4" customHeight="1" x14ac:dyDescent="0.35">
      <c r="E47" s="445" t="s">
        <v>359</v>
      </c>
      <c r="F47" s="445"/>
      <c r="G47" s="445"/>
      <c r="H47" s="209"/>
      <c r="I47" s="298">
        <f>+J47*K47</f>
        <v>0</v>
      </c>
      <c r="J47" s="298">
        <v>0.340368</v>
      </c>
      <c r="K47" s="246">
        <v>0</v>
      </c>
      <c r="L47" s="346">
        <v>2.2358937544867188</v>
      </c>
      <c r="M47" s="344">
        <f>+L47*K47</f>
        <v>0</v>
      </c>
    </row>
    <row r="48" spans="2:24" ht="14.4" customHeight="1" x14ac:dyDescent="0.35">
      <c r="E48" s="445" t="s">
        <v>376</v>
      </c>
      <c r="F48" s="445"/>
      <c r="G48" s="445"/>
      <c r="H48" s="209">
        <v>0</v>
      </c>
      <c r="I48" s="298">
        <f>+H48*$J$48*$K$48</f>
        <v>0</v>
      </c>
      <c r="J48" s="298">
        <f>23683234/1000000</f>
        <v>23.683233999999999</v>
      </c>
      <c r="K48" s="226">
        <v>0</v>
      </c>
      <c r="L48" s="346">
        <v>254.98967741935485</v>
      </c>
      <c r="M48" s="344">
        <f>+L48*K48*H48</f>
        <v>0</v>
      </c>
    </row>
    <row r="49" spans="2:13" ht="14.4" customHeight="1" x14ac:dyDescent="0.35">
      <c r="E49" s="445" t="s">
        <v>236</v>
      </c>
      <c r="F49" s="445"/>
      <c r="G49" s="445"/>
      <c r="H49" s="209"/>
      <c r="I49" s="298">
        <f>+J49*K49</f>
        <v>0</v>
      </c>
      <c r="J49" s="298">
        <f>25508/1000000</f>
        <v>2.5507999999999999E-2</v>
      </c>
      <c r="K49" s="246">
        <f>7/(0.05)*0</f>
        <v>0</v>
      </c>
      <c r="L49" s="347" t="s">
        <v>486</v>
      </c>
      <c r="M49" s="349"/>
    </row>
    <row r="50" spans="2:13" ht="14.4" customHeight="1" x14ac:dyDescent="0.35">
      <c r="E50" s="445" t="s">
        <v>451</v>
      </c>
      <c r="F50" s="445"/>
      <c r="G50" s="445"/>
      <c r="H50" s="209">
        <v>1</v>
      </c>
      <c r="I50" s="298">
        <f>H50*J50</f>
        <v>7.9892054999999997</v>
      </c>
      <c r="J50" s="298">
        <f>15978411/2000000</f>
        <v>7.9892054999999997</v>
      </c>
      <c r="K50" s="246"/>
      <c r="L50" s="347" t="s">
        <v>486</v>
      </c>
      <c r="M50" s="344"/>
    </row>
    <row r="51" spans="2:13" ht="14.4" customHeight="1" x14ac:dyDescent="0.35">
      <c r="E51" s="445" t="s">
        <v>298</v>
      </c>
      <c r="F51" s="445"/>
      <c r="G51" s="445"/>
      <c r="H51" s="209"/>
      <c r="I51" s="210">
        <f>SUM(I45:I50)</f>
        <v>7.9892054999999997</v>
      </c>
      <c r="J51" s="214"/>
      <c r="K51" s="246"/>
      <c r="L51" s="344"/>
      <c r="M51" s="344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/>
    </row>
    <row r="53" spans="2:13" ht="14.4" customHeight="1" x14ac:dyDescent="0.35">
      <c r="E53" s="445" t="s">
        <v>175</v>
      </c>
      <c r="F53" s="445"/>
      <c r="G53" s="445"/>
      <c r="H53" s="209">
        <f>+U26</f>
        <v>0</v>
      </c>
      <c r="I53" s="210">
        <f>+H53*$J$53*$K$53</f>
        <v>0</v>
      </c>
      <c r="J53" s="211">
        <v>11.8</v>
      </c>
      <c r="K53" s="246">
        <v>4</v>
      </c>
      <c r="L53" s="344">
        <v>118.52055555555555</v>
      </c>
      <c r="M53" s="344">
        <f>+L53*K53*H53</f>
        <v>0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0</v>
      </c>
      <c r="J54" s="296">
        <f>+J46*0</f>
        <v>0</v>
      </c>
      <c r="K54" s="215">
        <f>+((15*2.8)*2.72)*0</f>
        <v>0</v>
      </c>
      <c r="L54" s="346">
        <v>1.6919982016368774E-2</v>
      </c>
      <c r="M54" s="344">
        <f>+L54*K54</f>
        <v>0</v>
      </c>
    </row>
    <row r="55" spans="2:13" ht="14.4" customHeight="1" x14ac:dyDescent="0.35">
      <c r="E55" s="445" t="s">
        <v>297</v>
      </c>
      <c r="F55" s="445"/>
      <c r="G55" s="445"/>
      <c r="H55" s="209"/>
      <c r="I55" s="210">
        <f>SUM(I53:I54)</f>
        <v>0</v>
      </c>
      <c r="J55" s="214"/>
      <c r="K55" s="246"/>
      <c r="L55" s="347"/>
      <c r="M55" s="349"/>
    </row>
    <row r="56" spans="2:13" ht="14.4" customHeight="1" x14ac:dyDescent="0.3">
      <c r="E56" s="227"/>
      <c r="F56" s="227"/>
      <c r="G56" s="227"/>
      <c r="H56" s="209"/>
      <c r="I56" s="210"/>
      <c r="J56" s="214"/>
      <c r="K56" s="246"/>
      <c r="L56" s="213"/>
      <c r="M56" s="352">
        <f>SUM(M45:M55)</f>
        <v>0</v>
      </c>
    </row>
    <row r="57" spans="2:13" ht="14.4" customHeight="1" x14ac:dyDescent="0.3">
      <c r="L57" s="213"/>
    </row>
    <row r="58" spans="2:13" ht="7.75" customHeight="1" thickBot="1" x14ac:dyDescent="0.35"/>
    <row r="59" spans="2:13" ht="30" customHeight="1" thickBot="1" x14ac:dyDescent="0.35">
      <c r="B59" s="191"/>
      <c r="C59" s="446" t="s">
        <v>88</v>
      </c>
      <c r="D59" s="446"/>
      <c r="E59" s="192"/>
      <c r="F59" s="192"/>
      <c r="G59" s="192"/>
      <c r="H59" s="192"/>
      <c r="I59" s="216"/>
      <c r="J59" s="193"/>
    </row>
    <row r="60" spans="2:13" ht="38" customHeight="1" x14ac:dyDescent="0.3">
      <c r="C60" s="217" t="s">
        <v>89</v>
      </c>
      <c r="D60" s="195">
        <f>SUMPRODUCT((LEFT(G21:G34, 5)="Jumbo") / (COUNTIF(G21:G34, G21:G34 &amp; "") + (G21:G34="")))</f>
        <v>0</v>
      </c>
      <c r="E60" s="447" t="s">
        <v>90</v>
      </c>
      <c r="F60" s="447"/>
      <c r="G60" s="218">
        <v>0.20833333333333334</v>
      </c>
      <c r="I60" s="139"/>
      <c r="J60" s="190"/>
    </row>
    <row r="61" spans="2:13" ht="38" customHeight="1" x14ac:dyDescent="0.3">
      <c r="E61" s="447" t="s">
        <v>93</v>
      </c>
      <c r="F61" s="447"/>
      <c r="G61" s="195">
        <f>15000/(60)</f>
        <v>250</v>
      </c>
      <c r="H61" s="219" t="s">
        <v>143</v>
      </c>
      <c r="I61" s="139"/>
      <c r="J61" s="190"/>
    </row>
    <row r="62" spans="2:13" ht="38" customHeight="1" x14ac:dyDescent="0.3">
      <c r="E62" s="448" t="s">
        <v>91</v>
      </c>
      <c r="F62" s="448"/>
      <c r="G62" s="207" t="e">
        <f>+SUM(SUMIF($G$21:$G$34, "Jumbo*", $J$21:$J$34))/SUMPRODUCT((LEFT(G21:G34, 5)="Jumbo") / (COUNTIF(G21:G34, G21:G34 &amp; "") + (G21:G34="")))</f>
        <v>#DIV/0!</v>
      </c>
      <c r="H62" s="220" t="e">
        <f>+G62*24/($G$60*24)</f>
        <v>#DIV/0!</v>
      </c>
      <c r="I62" s="190"/>
      <c r="J62" s="190"/>
    </row>
    <row r="63" spans="2:13" ht="38" customHeight="1" x14ac:dyDescent="0.3">
      <c r="E63" s="448" t="s">
        <v>92</v>
      </c>
      <c r="F63" s="448"/>
      <c r="G63" s="221" t="e">
        <f>+SUM(V21:V34)/D60</f>
        <v>#DIV/0!</v>
      </c>
      <c r="H63" s="220" t="e">
        <f>+G63/G61</f>
        <v>#DIV/0!</v>
      </c>
      <c r="I63" s="190"/>
      <c r="J63" s="190"/>
    </row>
    <row r="64" spans="2:13" ht="38" customHeight="1" x14ac:dyDescent="0.3">
      <c r="G64" s="222" t="s">
        <v>87</v>
      </c>
      <c r="H64" s="139" t="s">
        <v>23</v>
      </c>
    </row>
    <row r="65" spans="2:10" ht="20" customHeight="1" x14ac:dyDescent="0.3">
      <c r="F65" s="208" t="s">
        <v>65</v>
      </c>
      <c r="G65" s="221">
        <f t="shared" ref="G65:G70" si="14" xml:space="preserve"> SUMIF($G$21:$G$34, +F65,$V$21:$V$34)</f>
        <v>0</v>
      </c>
      <c r="H65" s="220">
        <f t="shared" ref="H65:H70" si="15">+G65/$G$61</f>
        <v>0</v>
      </c>
    </row>
    <row r="66" spans="2:10" ht="20" customHeight="1" x14ac:dyDescent="0.3">
      <c r="F66" s="208" t="s">
        <v>66</v>
      </c>
      <c r="G66" s="221">
        <f t="shared" si="14"/>
        <v>0</v>
      </c>
      <c r="H66" s="220">
        <f t="shared" si="15"/>
        <v>0</v>
      </c>
    </row>
    <row r="67" spans="2:10" ht="20" customHeight="1" x14ac:dyDescent="0.3">
      <c r="F67" s="208" t="s">
        <v>67</v>
      </c>
      <c r="G67" s="221">
        <f t="shared" si="14"/>
        <v>0</v>
      </c>
      <c r="H67" s="220">
        <f t="shared" si="15"/>
        <v>0</v>
      </c>
    </row>
    <row r="68" spans="2:10" ht="20" customHeight="1" x14ac:dyDescent="0.3">
      <c r="F68" s="208" t="s">
        <v>68</v>
      </c>
      <c r="G68" s="221">
        <f t="shared" si="14"/>
        <v>0</v>
      </c>
      <c r="H68" s="220">
        <f t="shared" si="15"/>
        <v>0</v>
      </c>
    </row>
    <row r="69" spans="2:10" ht="20" customHeight="1" x14ac:dyDescent="0.3">
      <c r="F69" s="208" t="s">
        <v>69</v>
      </c>
      <c r="G69" s="221">
        <f t="shared" si="14"/>
        <v>0</v>
      </c>
      <c r="H69" s="220">
        <f t="shared" si="15"/>
        <v>0</v>
      </c>
    </row>
    <row r="70" spans="2:10" ht="20" customHeight="1" x14ac:dyDescent="0.3">
      <c r="F70" s="208" t="s">
        <v>70</v>
      </c>
      <c r="G70" s="221">
        <f t="shared" si="14"/>
        <v>0</v>
      </c>
      <c r="H70" s="220">
        <f t="shared" si="15"/>
        <v>0</v>
      </c>
    </row>
    <row r="71" spans="2:10" ht="20" customHeight="1" x14ac:dyDescent="0.3">
      <c r="F71" s="208" t="s">
        <v>146</v>
      </c>
      <c r="G71" s="223">
        <f>+SUM(G65:G70)</f>
        <v>0</v>
      </c>
      <c r="H71" s="220" t="e">
        <f>+G71/($G$61*$D$60)</f>
        <v>#DIV/0!</v>
      </c>
    </row>
    <row r="72" spans="2:10" ht="13.5" thickBot="1" x14ac:dyDescent="0.35"/>
    <row r="73" spans="2:10" ht="30" customHeight="1" thickBot="1" x14ac:dyDescent="0.35">
      <c r="B73" s="191"/>
      <c r="C73" s="446" t="s">
        <v>107</v>
      </c>
      <c r="D73" s="446"/>
      <c r="E73" s="192"/>
      <c r="F73" s="192"/>
      <c r="G73" s="192"/>
      <c r="H73" s="192"/>
      <c r="I73" s="216"/>
      <c r="J73" s="193"/>
    </row>
    <row r="74" spans="2:10" ht="38" customHeight="1" x14ac:dyDescent="0.3">
      <c r="C74" s="208" t="s">
        <v>95</v>
      </c>
      <c r="D74" s="195">
        <f>SUMPRODUCT((LEFT(G21:G34, 5)="Scoop") / (COUNTIF(G21:G34, G21:G34 &amp; "") + (G21:G34="")))</f>
        <v>0</v>
      </c>
      <c r="E74" s="447" t="s">
        <v>90</v>
      </c>
      <c r="F74" s="447"/>
      <c r="G74" s="218">
        <v>0.20833333333333334</v>
      </c>
      <c r="I74" s="139"/>
      <c r="J74" s="190"/>
    </row>
    <row r="75" spans="2:10" ht="38" customHeight="1" x14ac:dyDescent="0.3">
      <c r="C75" s="208" t="s">
        <v>145</v>
      </c>
      <c r="D75" s="195">
        <v>4.9000000000000004</v>
      </c>
      <c r="E75" s="447" t="s">
        <v>97</v>
      </c>
      <c r="F75" s="447"/>
      <c r="G75" s="195">
        <f>15000/(60)</f>
        <v>250</v>
      </c>
      <c r="H75" s="219" t="s">
        <v>23</v>
      </c>
      <c r="I75" s="139"/>
      <c r="J75" s="190"/>
    </row>
    <row r="76" spans="2:10" ht="38" customHeight="1" x14ac:dyDescent="0.3">
      <c r="E76" s="448" t="s">
        <v>98</v>
      </c>
      <c r="F76" s="448"/>
      <c r="G76" s="207" t="e">
        <f>+SUM(SUMIF($G$21:$G$34, "Scoop*", $J$21:$J$34))/SUMPRODUCT((LEFT(G21:G34, 5)="Scoop") / (COUNTIF(G21:G34, G21:G34 &amp; "") + (G21:G34="")))</f>
        <v>#DIV/0!</v>
      </c>
      <c r="H76" s="220" t="e">
        <f>+G76*24/($G$74*24)</f>
        <v>#DIV/0!</v>
      </c>
      <c r="I76" s="190"/>
      <c r="J76" s="190"/>
    </row>
    <row r="77" spans="2:10" ht="38" customHeight="1" x14ac:dyDescent="0.3">
      <c r="E77" s="448" t="s">
        <v>99</v>
      </c>
      <c r="F77" s="448"/>
      <c r="G77" s="221" t="e">
        <f>+SUM(W21:W34)*D75/D74</f>
        <v>#DIV/0!</v>
      </c>
      <c r="H77" s="220" t="e">
        <f>+G77/G75</f>
        <v>#DIV/0!</v>
      </c>
      <c r="I77" s="190"/>
      <c r="J77" s="190"/>
    </row>
    <row r="78" spans="2:10" ht="38" customHeight="1" x14ac:dyDescent="0.3">
      <c r="G78" s="222" t="s">
        <v>96</v>
      </c>
      <c r="H78" s="139" t="s">
        <v>23</v>
      </c>
    </row>
    <row r="79" spans="2:10" ht="20" customHeight="1" x14ac:dyDescent="0.3">
      <c r="F79" s="208" t="s">
        <v>71</v>
      </c>
      <c r="G79" s="221">
        <f t="shared" ref="G79:G84" si="16" xml:space="preserve"> SUMIF($G$21:$G$34, +F79,$W$21:$W$34)*$D$75</f>
        <v>0</v>
      </c>
      <c r="H79" s="220">
        <f>+G79/$G$75</f>
        <v>0</v>
      </c>
    </row>
    <row r="80" spans="2:10" ht="20" customHeight="1" x14ac:dyDescent="0.3">
      <c r="F80" s="208" t="s">
        <v>72</v>
      </c>
      <c r="G80" s="221">
        <f t="shared" si="16"/>
        <v>0</v>
      </c>
      <c r="H80" s="220">
        <f t="shared" ref="H80:H85" si="17">+G80/$G$75</f>
        <v>0</v>
      </c>
    </row>
    <row r="81" spans="2:10" ht="20" customHeight="1" x14ac:dyDescent="0.3">
      <c r="F81" s="208" t="s">
        <v>73</v>
      </c>
      <c r="G81" s="221">
        <f t="shared" si="16"/>
        <v>0</v>
      </c>
      <c r="H81" s="220">
        <f t="shared" si="17"/>
        <v>0</v>
      </c>
    </row>
    <row r="82" spans="2:10" ht="20" customHeight="1" x14ac:dyDescent="0.3">
      <c r="F82" s="208" t="s">
        <v>74</v>
      </c>
      <c r="G82" s="221">
        <f t="shared" si="16"/>
        <v>0</v>
      </c>
      <c r="H82" s="220">
        <f t="shared" si="17"/>
        <v>0</v>
      </c>
    </row>
    <row r="83" spans="2:10" ht="20" customHeight="1" x14ac:dyDescent="0.3">
      <c r="F83" s="208" t="s">
        <v>75</v>
      </c>
      <c r="G83" s="221">
        <f t="shared" si="16"/>
        <v>0</v>
      </c>
      <c r="H83" s="220">
        <f t="shared" si="17"/>
        <v>0</v>
      </c>
    </row>
    <row r="84" spans="2:10" ht="20" customHeight="1" x14ac:dyDescent="0.3">
      <c r="F84" s="208" t="s">
        <v>76</v>
      </c>
      <c r="G84" s="221">
        <f t="shared" si="16"/>
        <v>0</v>
      </c>
      <c r="H84" s="220">
        <f t="shared" si="17"/>
        <v>0</v>
      </c>
    </row>
    <row r="85" spans="2:10" ht="20" customHeight="1" x14ac:dyDescent="0.3">
      <c r="F85" s="208" t="s">
        <v>146</v>
      </c>
      <c r="G85" s="223">
        <f>+SUM(G79:G84)</f>
        <v>0</v>
      </c>
      <c r="H85" s="220">
        <f t="shared" si="17"/>
        <v>0</v>
      </c>
    </row>
    <row r="86" spans="2:10" ht="13.5" thickBot="1" x14ac:dyDescent="0.35"/>
    <row r="87" spans="2:10" ht="30" customHeight="1" thickBot="1" x14ac:dyDescent="0.35">
      <c r="B87" s="191"/>
      <c r="C87" s="446" t="s">
        <v>149</v>
      </c>
      <c r="D87" s="446"/>
      <c r="E87" s="192"/>
      <c r="F87" s="192"/>
      <c r="G87" s="192"/>
      <c r="H87" s="192"/>
      <c r="I87" s="216"/>
      <c r="J87" s="193"/>
    </row>
    <row r="88" spans="2:10" ht="25.25" customHeight="1" x14ac:dyDescent="0.3">
      <c r="C88" s="208" t="s">
        <v>150</v>
      </c>
      <c r="D88" s="195">
        <f>SUMPRODUCT((LEFT(G21:G34, 8)="Roboshot") / (COUNTIF(G21:G34, G21:G34 &amp; "") + (G21:G34="")))</f>
        <v>0</v>
      </c>
      <c r="E88" s="447" t="s">
        <v>90</v>
      </c>
      <c r="F88" s="447"/>
      <c r="G88" s="218">
        <v>0.20833333333333334</v>
      </c>
    </row>
    <row r="89" spans="2:10" x14ac:dyDescent="0.3">
      <c r="C89" s="208"/>
      <c r="D89" s="195"/>
      <c r="E89" s="447" t="s">
        <v>97</v>
      </c>
      <c r="F89" s="447"/>
      <c r="G89" s="195">
        <v>12</v>
      </c>
      <c r="H89" s="219" t="s">
        <v>23</v>
      </c>
    </row>
    <row r="91" spans="2:10" x14ac:dyDescent="0.3">
      <c r="G91" s="222" t="s">
        <v>96</v>
      </c>
      <c r="H91" s="139" t="s">
        <v>23</v>
      </c>
    </row>
    <row r="92" spans="2:10" x14ac:dyDescent="0.3">
      <c r="F92" s="208" t="s">
        <v>77</v>
      </c>
      <c r="G92" s="221">
        <f xml:space="preserve"> SUMIF($G$21:$G$34, +F92,$X$21:$X$34)</f>
        <v>0</v>
      </c>
      <c r="H92" s="220">
        <f>+G92/$G$89</f>
        <v>0</v>
      </c>
    </row>
    <row r="93" spans="2:10" x14ac:dyDescent="0.3">
      <c r="F93" s="208" t="s">
        <v>78</v>
      </c>
      <c r="G93" s="221">
        <f xml:space="preserve"> SUMIF($G$21:$G$34, +F93,$X$21:$X$34)</f>
        <v>0</v>
      </c>
      <c r="H93" s="220">
        <f t="shared" ref="H93:H94" si="18">+G93/$G$89</f>
        <v>0</v>
      </c>
    </row>
    <row r="94" spans="2:10" x14ac:dyDescent="0.3">
      <c r="F94" s="208" t="s">
        <v>79</v>
      </c>
      <c r="G94" s="221">
        <f xml:space="preserve"> SUMIF($G$21:$G$34, +F94,$X$21:$X$34)</f>
        <v>0</v>
      </c>
      <c r="H94" s="220">
        <f t="shared" si="18"/>
        <v>0</v>
      </c>
    </row>
    <row r="95" spans="2:10" x14ac:dyDescent="0.3">
      <c r="F95" s="208" t="s">
        <v>146</v>
      </c>
      <c r="G95" s="223">
        <f>+SUM(G92:G94)</f>
        <v>0</v>
      </c>
      <c r="H95" s="220">
        <f>+G95/$G$89</f>
        <v>0</v>
      </c>
    </row>
  </sheetData>
  <mergeCells count="41">
    <mergeCell ref="E46:G46"/>
    <mergeCell ref="K8:L8"/>
    <mergeCell ref="B1:D4"/>
    <mergeCell ref="E2:R2"/>
    <mergeCell ref="E3:R4"/>
    <mergeCell ref="K6:L6"/>
    <mergeCell ref="K7:L7"/>
    <mergeCell ref="E54:G54"/>
    <mergeCell ref="E55:G55"/>
    <mergeCell ref="E47:G47"/>
    <mergeCell ref="K9:L9"/>
    <mergeCell ref="K10:L10"/>
    <mergeCell ref="K11:L11"/>
    <mergeCell ref="K12:L12"/>
    <mergeCell ref="B14:S14"/>
    <mergeCell ref="C39:D39"/>
    <mergeCell ref="G39:H39"/>
    <mergeCell ref="I39:J39"/>
    <mergeCell ref="K39:L39"/>
    <mergeCell ref="E40:F40"/>
    <mergeCell ref="E41:F41"/>
    <mergeCell ref="E42:F42"/>
    <mergeCell ref="E45:G45"/>
    <mergeCell ref="E48:G48"/>
    <mergeCell ref="E49:G49"/>
    <mergeCell ref="E50:G50"/>
    <mergeCell ref="E51:G51"/>
    <mergeCell ref="E53:G53"/>
    <mergeCell ref="C59:D59"/>
    <mergeCell ref="E60:F60"/>
    <mergeCell ref="E61:F61"/>
    <mergeCell ref="E62:F62"/>
    <mergeCell ref="E88:F88"/>
    <mergeCell ref="E63:F63"/>
    <mergeCell ref="E89:F89"/>
    <mergeCell ref="C73:D73"/>
    <mergeCell ref="E74:F74"/>
    <mergeCell ref="E75:F75"/>
    <mergeCell ref="E76:F76"/>
    <mergeCell ref="E77:F77"/>
    <mergeCell ref="C87:D87"/>
  </mergeCells>
  <conditionalFormatting sqref="H41:H42 J41:J42">
    <cfRule type="cellIs" dxfId="104" priority="13" operator="greaterThan">
      <formula>0.9</formula>
    </cfRule>
    <cfRule type="cellIs" dxfId="103" priority="14" operator="between">
      <formula>0.81</formula>
      <formula>0.89</formula>
    </cfRule>
    <cfRule type="cellIs" dxfId="102" priority="15" operator="lessThan">
      <formula>0.8</formula>
    </cfRule>
  </conditionalFormatting>
  <conditionalFormatting sqref="H62:H63">
    <cfRule type="cellIs" dxfId="101" priority="16" operator="greaterThan">
      <formula>0.9</formula>
    </cfRule>
    <cfRule type="cellIs" dxfId="100" priority="17" operator="between">
      <formula>0.81</formula>
      <formula>0.89</formula>
    </cfRule>
    <cfRule type="cellIs" dxfId="99" priority="18" operator="lessThan">
      <formula>0.8</formula>
    </cfRule>
  </conditionalFormatting>
  <conditionalFormatting sqref="H65:H71">
    <cfRule type="cellIs" dxfId="98" priority="19" operator="greaterThan">
      <formula>0.9</formula>
    </cfRule>
    <cfRule type="cellIs" dxfId="97" priority="20" operator="between">
      <formula>0.81</formula>
      <formula>0.89</formula>
    </cfRule>
    <cfRule type="cellIs" dxfId="96" priority="21" operator="lessThan">
      <formula>0.8</formula>
    </cfRule>
  </conditionalFormatting>
  <conditionalFormatting sqref="H76:H77">
    <cfRule type="cellIs" dxfId="95" priority="7" operator="greaterThan">
      <formula>0.9</formula>
    </cfRule>
    <cfRule type="cellIs" dxfId="94" priority="8" operator="between">
      <formula>0.81</formula>
      <formula>0.89</formula>
    </cfRule>
    <cfRule type="cellIs" dxfId="93" priority="9" operator="lessThan">
      <formula>0.8</formula>
    </cfRule>
  </conditionalFormatting>
  <conditionalFormatting sqref="H79:H85">
    <cfRule type="cellIs" dxfId="92" priority="10" operator="greaterThan">
      <formula>0.9</formula>
    </cfRule>
    <cfRule type="cellIs" dxfId="91" priority="11" operator="between">
      <formula>0.81</formula>
      <formula>0.89</formula>
    </cfRule>
    <cfRule type="cellIs" dxfId="90" priority="12" operator="lessThan">
      <formula>0.8</formula>
    </cfRule>
  </conditionalFormatting>
  <conditionalFormatting sqref="H92:H95">
    <cfRule type="cellIs" dxfId="89" priority="4" operator="greaterThan">
      <formula>0.9</formula>
    </cfRule>
    <cfRule type="cellIs" dxfId="88" priority="5" operator="between">
      <formula>0.81</formula>
      <formula>0.89</formula>
    </cfRule>
    <cfRule type="cellIs" dxfId="87" priority="6" operator="lessThan">
      <formula>0.8</formula>
    </cfRule>
  </conditionalFormatting>
  <conditionalFormatting sqref="L41:L42">
    <cfRule type="cellIs" dxfId="86" priority="1" operator="greaterThan">
      <formula>0.9</formula>
    </cfRule>
    <cfRule type="cellIs" dxfId="85" priority="2" operator="between">
      <formula>0.81</formula>
      <formula>0.89</formula>
    </cfRule>
    <cfRule type="cellIs" dxfId="84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28E5F5A1-733B-4273-8FEA-56AB6B69F9D8}">
          <x14:formula1>
            <xm:f>Datos!$B$3:$B$8</xm:f>
          </x14:formula1>
          <xm:sqref>E29:E37 E21:E26</xm:sqref>
        </x14:dataValidation>
        <x14:dataValidation type="list" allowBlank="1" showInputMessage="1" showErrorMessage="1" xr:uid="{A2CB0650-7212-4480-BA67-16B4AF0389E7}">
          <x14:formula1>
            <xm:f>Datos!$D$3:$D$27</xm:f>
          </x14:formula1>
          <xm:sqref>F29:F37 F21:F26</xm:sqref>
        </x14:dataValidation>
        <x14:dataValidation type="list" allowBlank="1" showInputMessage="1" showErrorMessage="1" xr:uid="{E62D364A-E2E4-4109-97D4-0BEA0437354A}">
          <x14:formula1>
            <xm:f>Datos!$W$3:$W$12</xm:f>
          </x14:formula1>
          <xm:sqref>L29:L37 L21:L26</xm:sqref>
        </x14:dataValidation>
        <x14:dataValidation type="list" allowBlank="1" showInputMessage="1" showErrorMessage="1" xr:uid="{8C8F685C-B974-42D2-ABF7-D9E0246456C4}">
          <x14:formula1>
            <xm:f>Datos!$F$3:$F$41</xm:f>
          </x14:formula1>
          <xm:sqref>G29:G37 G21:G26</xm:sqref>
        </x14:dataValidation>
        <x14:dataValidation type="list" allowBlank="1" showInputMessage="1" showErrorMessage="1" xr:uid="{DD8521D2-A912-437A-8607-6ACFAF375B4F}">
          <x14:formula1>
            <xm:f>Datos!$H$3:$H$26</xm:f>
          </x14:formula1>
          <xm:sqref>D26 D37</xm:sqref>
        </x14:dataValidation>
        <x14:dataValidation type="list" allowBlank="1" showInputMessage="1" showErrorMessage="1" xr:uid="{51821F90-EDD3-40FA-A10C-4BC8D2AC6467}">
          <x14:formula1>
            <xm:f>Datos!$H$3:$H$34</xm:f>
          </x14:formula1>
          <xm:sqref>D29:D36 D21:D25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2489-C843-4BC0-9F6A-5CC86B2CA551}">
  <sheetPr>
    <pageSetUpPr fitToPage="1"/>
  </sheetPr>
  <dimension ref="B1:X98"/>
  <sheetViews>
    <sheetView showGridLines="0" topLeftCell="A19" zoomScaleNormal="10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F28" sqref="F28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+G43</f>
        <v>0.46180555555555564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+H44</f>
        <v>0.83333333333333337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+G74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+G88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+G98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172</v>
      </c>
      <c r="E21" s="172" t="s">
        <v>6</v>
      </c>
      <c r="F21" s="172" t="s">
        <v>163</v>
      </c>
      <c r="G21" s="172"/>
      <c r="H21" s="174">
        <v>0.33333333333333331</v>
      </c>
      <c r="I21" s="174">
        <v>0.3888888888888889</v>
      </c>
      <c r="J21" s="175">
        <f t="shared" ref="J21:J26" si="0">I21-H21</f>
        <v>5.555555555555558E-2</v>
      </c>
      <c r="K21" s="178"/>
      <c r="L21" s="177"/>
      <c r="M21" s="178"/>
      <c r="N21" s="179">
        <v>1</v>
      </c>
      <c r="O21" s="186" t="s">
        <v>542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52.75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110</v>
      </c>
      <c r="E22" s="172" t="s">
        <v>6</v>
      </c>
      <c r="F22" s="172" t="s">
        <v>163</v>
      </c>
      <c r="G22" s="172"/>
      <c r="H22" s="174">
        <v>0.60416666666666663</v>
      </c>
      <c r="I22" s="174">
        <v>0.64583333333333337</v>
      </c>
      <c r="J22" s="175">
        <f t="shared" si="0"/>
        <v>4.1666666666666741E-2</v>
      </c>
      <c r="K22" s="178"/>
      <c r="L22" s="177"/>
      <c r="M22" s="178"/>
      <c r="N22" s="179">
        <v>1</v>
      </c>
      <c r="O22" s="186" t="s">
        <v>544</v>
      </c>
      <c r="P22" s="181"/>
      <c r="Q22" s="174"/>
      <c r="R22" s="172"/>
      <c r="S22" s="175">
        <f t="shared" ref="S22:S28" si="1">+MOD(R22-Q22,1)</f>
        <v>0</v>
      </c>
      <c r="U22" s="182">
        <f>+IFERROR(VLOOKUP(D22,Datos!$R$3:$T$19,3,FALSE), "0")*N22</f>
        <v>0</v>
      </c>
      <c r="V22" s="183" t="str">
        <f t="shared" ref="V22:V28" si="2">IF(OR(D22="Perforación de Fortificación", D22="Perforación de Avance", D22="Perforación Desquinche"), K22*M22, "")</f>
        <v/>
      </c>
      <c r="W22" s="183" t="str">
        <f t="shared" ref="W22:W28" si="3">IF(D22="Extracción de Marina Disparo",K22,"")</f>
        <v/>
      </c>
      <c r="X22" s="183" t="str">
        <f t="shared" ref="X22:X28" si="4">IF(OR(D22="Shotcrete", D22="Pre Shotcrete"), K22, "")</f>
        <v/>
      </c>
    </row>
    <row r="23" spans="2:24" ht="42.65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51</v>
      </c>
      <c r="E23" s="172" t="s">
        <v>6</v>
      </c>
      <c r="F23" s="172" t="s">
        <v>163</v>
      </c>
      <c r="G23" s="172"/>
      <c r="H23" s="174">
        <v>0.625</v>
      </c>
      <c r="I23" s="174">
        <v>0.69791666666666663</v>
      </c>
      <c r="J23" s="175">
        <f t="shared" si="0"/>
        <v>7.291666666666663E-2</v>
      </c>
      <c r="K23" s="178"/>
      <c r="L23" s="177"/>
      <c r="M23" s="178"/>
      <c r="N23" s="179">
        <v>0</v>
      </c>
      <c r="O23" s="186" t="s">
        <v>546</v>
      </c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55.75" customHeight="1" x14ac:dyDescent="0.3">
      <c r="B24" s="172">
        <v>3500</v>
      </c>
      <c r="C24" s="173" t="s">
        <v>545</v>
      </c>
      <c r="D24" s="173" t="s">
        <v>110</v>
      </c>
      <c r="E24" s="172" t="s">
        <v>6</v>
      </c>
      <c r="F24" s="172" t="s">
        <v>163</v>
      </c>
      <c r="G24" s="172"/>
      <c r="H24" s="174">
        <v>0.625</v>
      </c>
      <c r="I24" s="174">
        <v>0.66666666666666663</v>
      </c>
      <c r="J24" s="175">
        <f t="shared" si="0"/>
        <v>4.166666666666663E-2</v>
      </c>
      <c r="K24" s="178"/>
      <c r="L24" s="177"/>
      <c r="M24" s="178"/>
      <c r="N24" s="179">
        <v>1</v>
      </c>
      <c r="O24" s="186"/>
      <c r="P24" s="181"/>
      <c r="Q24" s="174"/>
      <c r="R24" s="174"/>
      <c r="S24" s="175"/>
      <c r="U24" s="182">
        <f>+IFERROR(VLOOKUP(D24,Datos!$R$3:$T$19,3,FALSE), "0")*N24</f>
        <v>0</v>
      </c>
      <c r="V24" s="183"/>
      <c r="W24" s="183"/>
      <c r="X24" s="183"/>
    </row>
    <row r="25" spans="2:24" ht="55.75" customHeight="1" x14ac:dyDescent="0.3">
      <c r="B25" s="172">
        <v>3500</v>
      </c>
      <c r="C25" s="173" t="s">
        <v>555</v>
      </c>
      <c r="D25" s="173" t="s">
        <v>110</v>
      </c>
      <c r="E25" s="172" t="s">
        <v>6</v>
      </c>
      <c r="F25" s="172" t="s">
        <v>163</v>
      </c>
      <c r="G25" s="172" t="s">
        <v>206</v>
      </c>
      <c r="H25" s="174">
        <v>0.54166666666666663</v>
      </c>
      <c r="I25" s="174">
        <v>0.64583333333333337</v>
      </c>
      <c r="J25" s="175">
        <f t="shared" si="0"/>
        <v>0.10416666666666674</v>
      </c>
      <c r="K25" s="178"/>
      <c r="L25" s="177"/>
      <c r="M25" s="178"/>
      <c r="N25" s="179">
        <v>1</v>
      </c>
      <c r="O25" s="186" t="s">
        <v>554</v>
      </c>
      <c r="P25" s="181"/>
      <c r="Q25" s="174"/>
      <c r="R25" s="174"/>
      <c r="S25" s="175"/>
      <c r="U25" s="182">
        <f>+IFERROR(VLOOKUP(D25,Datos!$R$3:$T$19,3,FALSE), "0")*N25</f>
        <v>0</v>
      </c>
      <c r="V25" s="183"/>
      <c r="W25" s="183"/>
      <c r="X25" s="183"/>
    </row>
    <row r="26" spans="2:24" s="392" customFormat="1" ht="38" customHeight="1" x14ac:dyDescent="0.3">
      <c r="B26" s="384"/>
      <c r="C26" s="385" t="s">
        <v>540</v>
      </c>
      <c r="D26" s="385"/>
      <c r="E26" s="384"/>
      <c r="F26" s="384"/>
      <c r="G26" s="384"/>
      <c r="H26" s="386">
        <v>0.39583333333333331</v>
      </c>
      <c r="I26" s="386">
        <v>0.54166666666666663</v>
      </c>
      <c r="J26" s="387">
        <f t="shared" si="0"/>
        <v>0.14583333333333331</v>
      </c>
      <c r="K26" s="388"/>
      <c r="L26" s="389"/>
      <c r="M26" s="388"/>
      <c r="N26" s="179">
        <v>1</v>
      </c>
      <c r="O26" s="390" t="s">
        <v>541</v>
      </c>
      <c r="P26" s="391"/>
      <c r="Q26" s="386"/>
      <c r="R26" s="386"/>
      <c r="S26" s="387"/>
      <c r="U26" s="393">
        <f>+IFERROR(VLOOKUP(D26,Datos!$R$3:$T$19,3,FALSE), "0")*N26</f>
        <v>0</v>
      </c>
      <c r="V26" s="394"/>
      <c r="W26" s="394"/>
      <c r="X26" s="394"/>
    </row>
    <row r="27" spans="2:24" ht="37.75" customHeight="1" x14ac:dyDescent="0.3">
      <c r="B27" s="172"/>
      <c r="C27" s="173"/>
      <c r="D27" s="173"/>
      <c r="E27" s="172"/>
      <c r="F27" s="172"/>
      <c r="G27" s="172"/>
      <c r="H27" s="174"/>
      <c r="I27" s="174"/>
      <c r="J27" s="175"/>
      <c r="K27" s="178"/>
      <c r="L27" s="177"/>
      <c r="M27" s="178"/>
      <c r="N27" s="179"/>
      <c r="O27" s="186"/>
      <c r="P27" s="181"/>
      <c r="Q27" s="174"/>
      <c r="R27" s="174"/>
      <c r="S27" s="175"/>
      <c r="U27" s="182"/>
      <c r="V27" s="183" t="str">
        <f t="shared" si="2"/>
        <v/>
      </c>
      <c r="W27" s="183" t="str">
        <f t="shared" si="3"/>
        <v/>
      </c>
      <c r="X27" s="183" t="str">
        <f t="shared" si="4"/>
        <v/>
      </c>
    </row>
    <row r="28" spans="2:24" ht="38" customHeight="1" x14ac:dyDescent="0.3">
      <c r="B28" s="172"/>
      <c r="C28" s="173"/>
      <c r="D28" s="173"/>
      <c r="E28" s="172"/>
      <c r="F28" s="172"/>
      <c r="G28" s="172"/>
      <c r="H28" s="174"/>
      <c r="I28" s="174" t="s">
        <v>329</v>
      </c>
      <c r="J28" s="175">
        <f>MOD(I23-H21, 1)</f>
        <v>0.36458333333333331</v>
      </c>
      <c r="K28" s="178"/>
      <c r="L28" s="177"/>
      <c r="M28" s="178"/>
      <c r="N28" s="179"/>
      <c r="O28" s="390" t="s">
        <v>547</v>
      </c>
      <c r="P28" s="172"/>
      <c r="Q28" s="172"/>
      <c r="R28" s="172"/>
      <c r="S28" s="175">
        <f t="shared" si="1"/>
        <v>0</v>
      </c>
      <c r="U28" s="182">
        <f>SUM(U21:U27)</f>
        <v>0</v>
      </c>
      <c r="V28" s="183" t="str">
        <f t="shared" si="2"/>
        <v/>
      </c>
      <c r="W28" s="183" t="str">
        <f t="shared" si="3"/>
        <v/>
      </c>
      <c r="X28" s="183" t="str">
        <f t="shared" si="4"/>
        <v/>
      </c>
    </row>
    <row r="29" spans="2:24" x14ac:dyDescent="0.3">
      <c r="B29" s="185" t="s">
        <v>158</v>
      </c>
      <c r="C29" s="63" t="s">
        <v>194</v>
      </c>
      <c r="D29" s="63"/>
      <c r="E29" s="63"/>
      <c r="F29" s="63"/>
      <c r="G29" s="63"/>
      <c r="H29" s="63"/>
      <c r="I29" s="63"/>
      <c r="J29" s="64"/>
      <c r="K29" s="64"/>
      <c r="L29" s="171"/>
      <c r="M29" s="63"/>
      <c r="N29" s="64"/>
      <c r="O29" s="64"/>
      <c r="P29" s="63"/>
      <c r="Q29" s="63"/>
      <c r="R29" s="63"/>
      <c r="S29" s="64"/>
      <c r="U29" s="63"/>
      <c r="V29" s="64"/>
      <c r="W29" s="64"/>
      <c r="X29" s="64"/>
    </row>
    <row r="30" spans="2:24" ht="52" x14ac:dyDescent="0.3">
      <c r="B30" s="63" t="s">
        <v>3</v>
      </c>
      <c r="C30" s="63" t="s">
        <v>2</v>
      </c>
      <c r="D30" s="63" t="s">
        <v>5</v>
      </c>
      <c r="E30" s="63" t="s">
        <v>22</v>
      </c>
      <c r="F30" s="63" t="s">
        <v>139</v>
      </c>
      <c r="G30" s="63" t="s">
        <v>29</v>
      </c>
      <c r="H30" s="63" t="s">
        <v>121</v>
      </c>
      <c r="I30" s="63" t="s">
        <v>4</v>
      </c>
      <c r="J30" s="64" t="s">
        <v>122</v>
      </c>
      <c r="K30" s="64" t="s">
        <v>131</v>
      </c>
      <c r="L30" s="171" t="s">
        <v>123</v>
      </c>
      <c r="M30" s="63" t="s">
        <v>134</v>
      </c>
      <c r="N30" s="64" t="s">
        <v>24</v>
      </c>
      <c r="O30" s="64" t="s">
        <v>130</v>
      </c>
      <c r="P30" s="63" t="s">
        <v>132</v>
      </c>
      <c r="Q30" s="63" t="s">
        <v>121</v>
      </c>
      <c r="R30" s="63" t="s">
        <v>4</v>
      </c>
      <c r="S30" s="64" t="s">
        <v>137</v>
      </c>
      <c r="U30" s="63" t="s">
        <v>109</v>
      </c>
      <c r="V30" s="64" t="s">
        <v>87</v>
      </c>
      <c r="W30" s="64" t="s">
        <v>128</v>
      </c>
      <c r="X30" s="64" t="s">
        <v>128</v>
      </c>
    </row>
    <row r="31" spans="2:24" ht="38" customHeight="1" x14ac:dyDescent="0.3">
      <c r="B31" s="172">
        <v>3700</v>
      </c>
      <c r="C31" s="173" t="str">
        <f>+Datos!$R$23</f>
        <v>Ciclo Minero 5,2 x 5,6 m
Galería Acceso Portal de Servicio</v>
      </c>
      <c r="D31" s="173" t="s">
        <v>110</v>
      </c>
      <c r="E31" s="172" t="s">
        <v>6</v>
      </c>
      <c r="F31" s="172" t="s">
        <v>164</v>
      </c>
      <c r="G31" s="172"/>
      <c r="H31" s="174">
        <v>0.33333333333333331</v>
      </c>
      <c r="I31" s="174">
        <v>0.83333333333333337</v>
      </c>
      <c r="J31" s="175">
        <f>I31-H31</f>
        <v>0.5</v>
      </c>
      <c r="K31" s="178"/>
      <c r="L31" s="177"/>
      <c r="M31" s="178"/>
      <c r="N31" s="179">
        <v>1</v>
      </c>
      <c r="O31" s="186" t="s">
        <v>428</v>
      </c>
      <c r="P31" s="225"/>
      <c r="Q31" s="174"/>
      <c r="R31" s="174"/>
      <c r="S31" s="175"/>
      <c r="U31" s="187">
        <f>+IFERROR(VLOOKUP(D31,Datos!$R$24:$T$40,3,FALSE), "0")*N31</f>
        <v>0</v>
      </c>
      <c r="V31" s="183" t="str">
        <f t="shared" ref="V31:V39" si="5">IF(OR(D31="Perforación de Fortificación", D31="Perforación de Avance", D31="Perforación Desquinche"), K31*M31, "")</f>
        <v/>
      </c>
      <c r="W31" s="183" t="str">
        <f>IF(D31="Extracción de Marina Disparo",K31,"")</f>
        <v/>
      </c>
      <c r="X31" s="183" t="str">
        <f t="shared" ref="X31:X39" si="6">IF(OR(D31="Shotcrete", D31="Pre Shotcrete"), K31, "")</f>
        <v/>
      </c>
    </row>
    <row r="32" spans="2:24" ht="38" customHeight="1" x14ac:dyDescent="0.3">
      <c r="B32" s="172">
        <v>3700</v>
      </c>
      <c r="C32" s="173" t="str">
        <f>+Datos!$R$23</f>
        <v>Ciclo Minero 5,2 x 5,6 m
Galería Acceso Portal de Servicio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225"/>
      <c r="P32" s="173"/>
      <c r="Q32" s="174"/>
      <c r="R32" s="174"/>
      <c r="S32" s="175"/>
      <c r="U32" s="187">
        <f>+IFERROR(VLOOKUP(D32,Datos!$R$24:$T$40,3,FALSE), "0")*N32</f>
        <v>0</v>
      </c>
      <c r="V32" s="183" t="str">
        <f t="shared" si="5"/>
        <v/>
      </c>
      <c r="W32" s="183" t="str">
        <f>IF(D32="Extracción de Marina Disparo",K32,"")</f>
        <v/>
      </c>
      <c r="X32" s="183" t="str">
        <f t="shared" si="6"/>
        <v/>
      </c>
    </row>
    <row r="33" spans="2:24" ht="53.4" customHeight="1" x14ac:dyDescent="0.3">
      <c r="B33" s="172">
        <v>3700</v>
      </c>
      <c r="C33" s="173" t="str">
        <f>+C31</f>
        <v>Ciclo Minero 5,2 x 5,6 m
Galería Acceso Portal de Servicio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225"/>
      <c r="P33" s="181"/>
      <c r="Q33" s="174"/>
      <c r="R33" s="174"/>
      <c r="S33" s="175"/>
      <c r="U33" s="187">
        <f>+IFERROR(VLOOKUP(D33,Datos!$R$24:$T$40,3,FALSE), "0")*N33</f>
        <v>0</v>
      </c>
      <c r="V33" s="183" t="str">
        <f t="shared" si="5"/>
        <v/>
      </c>
      <c r="W33" s="183" t="str">
        <f t="shared" ref="W33:W39" si="7">IF(D33="Extracción de Marina Disparo",K33,"")</f>
        <v/>
      </c>
      <c r="X33" s="183" t="str">
        <f t="shared" si="6"/>
        <v/>
      </c>
    </row>
    <row r="34" spans="2:24" ht="38" customHeight="1" x14ac:dyDescent="0.3">
      <c r="B34" s="172">
        <v>3700</v>
      </c>
      <c r="C34" s="173" t="s">
        <v>397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186"/>
      <c r="P34" s="172"/>
      <c r="Q34" s="172"/>
      <c r="R34" s="172"/>
      <c r="S34" s="175"/>
      <c r="U34" s="187">
        <f>+IFERROR(VLOOKUP(D34,Datos!$R$24:$T$40,3,FALSE), "0")*N34</f>
        <v>0</v>
      </c>
      <c r="V34" s="183" t="str">
        <f t="shared" si="5"/>
        <v/>
      </c>
      <c r="W34" s="183" t="str">
        <f t="shared" si="7"/>
        <v/>
      </c>
      <c r="X34" s="183"/>
    </row>
    <row r="35" spans="2:24" ht="38" customHeight="1" x14ac:dyDescent="0.3">
      <c r="B35" s="172">
        <v>3700</v>
      </c>
      <c r="C35" s="173" t="str">
        <f>+C34</f>
        <v>Fróntón Bodega</v>
      </c>
      <c r="D35" s="173"/>
      <c r="E35" s="172"/>
      <c r="F35" s="172"/>
      <c r="G35" s="172"/>
      <c r="H35" s="174"/>
      <c r="I35" s="174"/>
      <c r="J35" s="175"/>
      <c r="K35" s="178"/>
      <c r="L35" s="177"/>
      <c r="M35" s="178"/>
      <c r="N35" s="179"/>
      <c r="O35" s="186"/>
      <c r="P35" s="181"/>
      <c r="Q35" s="174"/>
      <c r="R35" s="174"/>
      <c r="S35" s="175"/>
      <c r="U35" s="187">
        <f>+IFERROR(VLOOKUP(D35,Datos!$R$24:$T$40,3,FALSE), "0")*N35</f>
        <v>0</v>
      </c>
      <c r="V35" s="183" t="str">
        <f t="shared" si="5"/>
        <v/>
      </c>
      <c r="W35" s="183" t="str">
        <f t="shared" si="7"/>
        <v/>
      </c>
      <c r="X35" s="183" t="str">
        <f t="shared" si="6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225"/>
      <c r="P36" s="172"/>
      <c r="Q36" s="172"/>
      <c r="R36" s="172"/>
      <c r="S36" s="175">
        <f t="shared" ref="S36:S39" si="8">+MOD(R36-Q36,1)</f>
        <v>0</v>
      </c>
      <c r="U36" s="187">
        <f>+IFERROR(VLOOKUP(D36,Datos!$R$24:$T$40,3,FALSE), "0")*N36</f>
        <v>0</v>
      </c>
      <c r="V36" s="183" t="str">
        <f t="shared" si="5"/>
        <v/>
      </c>
      <c r="W36" s="183" t="str">
        <f t="shared" si="7"/>
        <v/>
      </c>
      <c r="X36" s="183" t="str">
        <f t="shared" si="6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8"/>
        <v>0</v>
      </c>
      <c r="U37" s="187"/>
      <c r="V37" s="183" t="str">
        <f t="shared" si="5"/>
        <v/>
      </c>
      <c r="W37" s="183" t="str">
        <f t="shared" si="7"/>
        <v/>
      </c>
      <c r="X37" s="183" t="str">
        <f t="shared" si="6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/>
      <c r="J38" s="175">
        <f>MOD(I38-H38, 1)</f>
        <v>0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8"/>
        <v>0</v>
      </c>
      <c r="U38" s="187"/>
      <c r="V38" s="183" t="str">
        <f t="shared" si="5"/>
        <v/>
      </c>
      <c r="W38" s="183" t="str">
        <f t="shared" si="7"/>
        <v/>
      </c>
      <c r="X38" s="183" t="str">
        <f t="shared" si="6"/>
        <v/>
      </c>
    </row>
    <row r="39" spans="2:24" ht="38" customHeight="1" x14ac:dyDescent="0.3">
      <c r="B39" s="172"/>
      <c r="C39" s="173"/>
      <c r="D39" s="173"/>
      <c r="E39" s="172"/>
      <c r="F39" s="172"/>
      <c r="G39" s="172"/>
      <c r="H39" s="174"/>
      <c r="I39" s="174" t="s">
        <v>329</v>
      </c>
      <c r="J39" s="175">
        <v>0</v>
      </c>
      <c r="K39" s="178"/>
      <c r="L39" s="177"/>
      <c r="M39" s="178"/>
      <c r="N39" s="179"/>
      <c r="O39" s="186"/>
      <c r="P39" s="172"/>
      <c r="Q39" s="172"/>
      <c r="R39" s="172"/>
      <c r="S39" s="175">
        <f t="shared" si="8"/>
        <v>0</v>
      </c>
      <c r="U39" s="182">
        <f>SUM(U31:U38)</f>
        <v>0</v>
      </c>
      <c r="V39" s="183" t="str">
        <f t="shared" si="5"/>
        <v/>
      </c>
      <c r="W39" s="183" t="str">
        <f t="shared" si="7"/>
        <v/>
      </c>
      <c r="X39" s="183" t="str">
        <f t="shared" si="6"/>
        <v/>
      </c>
    </row>
    <row r="40" spans="2:24" ht="15.65" customHeight="1" thickBot="1" x14ac:dyDescent="0.35">
      <c r="B40" s="190"/>
      <c r="C40" s="190"/>
      <c r="D40" s="190"/>
      <c r="E40" s="190"/>
      <c r="F40" s="190"/>
      <c r="G40" s="190"/>
      <c r="H40" s="190"/>
      <c r="J40" s="190"/>
      <c r="K40" s="190"/>
      <c r="L40" s="190"/>
      <c r="M40" s="190"/>
      <c r="N40" s="190"/>
      <c r="O40" s="190"/>
      <c r="P40" s="190"/>
      <c r="Q40" s="190"/>
      <c r="R40" s="190"/>
      <c r="S40" s="190"/>
    </row>
    <row r="41" spans="2:24" ht="30" customHeight="1" thickBot="1" x14ac:dyDescent="0.35">
      <c r="B41" s="191"/>
      <c r="C41" s="446" t="s">
        <v>64</v>
      </c>
      <c r="D41" s="446"/>
      <c r="E41" s="192"/>
      <c r="F41" s="192"/>
      <c r="G41" s="431">
        <v>3500</v>
      </c>
      <c r="H41" s="432"/>
      <c r="I41" s="431">
        <v>3700</v>
      </c>
      <c r="J41" s="432"/>
      <c r="K41" s="433" t="s">
        <v>146</v>
      </c>
      <c r="L41" s="434"/>
      <c r="M41" s="190"/>
      <c r="N41" s="190"/>
      <c r="O41" s="190"/>
      <c r="P41" s="190"/>
      <c r="Q41" s="190"/>
      <c r="R41" s="190"/>
      <c r="S41" s="190"/>
    </row>
    <row r="42" spans="2:24" ht="30" customHeight="1" x14ac:dyDescent="0.3">
      <c r="C42" s="194" t="s">
        <v>48</v>
      </c>
      <c r="D42" s="195">
        <f>SUMPRODUCT((LEFT(F21:F36, 1)="C") / (COUNTIF(F21:F36, F21:F36 &amp; "") + (F21:F36="")))</f>
        <v>0</v>
      </c>
      <c r="E42" s="447" t="s">
        <v>90</v>
      </c>
      <c r="F42" s="447"/>
      <c r="G42" s="196">
        <v>0.26041666666666669</v>
      </c>
      <c r="H42" s="197" t="s">
        <v>23</v>
      </c>
      <c r="I42" s="196">
        <v>0.26041666666666669</v>
      </c>
      <c r="J42" s="197" t="s">
        <v>23</v>
      </c>
      <c r="K42" s="198">
        <f>+G42</f>
        <v>0.26041666666666669</v>
      </c>
      <c r="L42" s="197" t="s">
        <v>23</v>
      </c>
      <c r="M42" s="190"/>
      <c r="N42" s="190"/>
      <c r="O42" s="190"/>
      <c r="P42" s="190"/>
      <c r="Q42" s="190"/>
      <c r="R42" s="190"/>
      <c r="S42" s="190"/>
    </row>
    <row r="43" spans="2:24" x14ac:dyDescent="0.3">
      <c r="C43" s="194" t="s">
        <v>49</v>
      </c>
      <c r="D43" s="195">
        <f>SUMPRODUCT((LEFT(F21:F36, 1)="O") / (COUNTIF(F21:F36, F21:F36 &amp; "") + (F21:F36="")))</f>
        <v>0</v>
      </c>
      <c r="E43" s="448" t="s">
        <v>198</v>
      </c>
      <c r="F43" s="448"/>
      <c r="G43" s="199">
        <f>SUM(J21:J27)</f>
        <v>0.46180555555555564</v>
      </c>
      <c r="H43" s="200">
        <f>+G43*24/($G$42*24)</f>
        <v>1.7733333333333337</v>
      </c>
      <c r="I43" s="199">
        <f>SUM(J31:J36)</f>
        <v>0.5</v>
      </c>
      <c r="J43" s="200">
        <f>+I43*24/($I$42*24)</f>
        <v>1.92</v>
      </c>
      <c r="K43" s="201">
        <f>AVERAGE(G43+I43)/2</f>
        <v>0.48090277777777779</v>
      </c>
      <c r="L43" s="200">
        <f>+K43*24/($K$42*24)</f>
        <v>1.8466666666666669</v>
      </c>
      <c r="M43" s="190"/>
      <c r="N43" s="190"/>
      <c r="O43" s="190"/>
      <c r="P43" s="190"/>
      <c r="Q43" s="190"/>
      <c r="R43" s="190"/>
      <c r="S43" s="190"/>
    </row>
    <row r="44" spans="2:24" ht="43.25" customHeight="1" thickBot="1" x14ac:dyDescent="0.35">
      <c r="E44" s="448" t="s">
        <v>94</v>
      </c>
      <c r="F44" s="448"/>
      <c r="G44" s="202"/>
      <c r="H44" s="203">
        <f>+AVERAGE(N21:N28)</f>
        <v>0.83333333333333337</v>
      </c>
      <c r="I44" s="202"/>
      <c r="J44" s="203">
        <f>+AVERAGE(N31:N36)</f>
        <v>1</v>
      </c>
      <c r="K44" s="204"/>
      <c r="L44" s="203">
        <f>+AVERAGE(N21:N36)</f>
        <v>0.8571428571428571</v>
      </c>
    </row>
    <row r="45" spans="2:24" ht="43.25" customHeight="1" x14ac:dyDescent="0.3">
      <c r="E45" s="205"/>
      <c r="F45" s="205"/>
      <c r="G45" s="206"/>
      <c r="H45" s="206"/>
      <c r="I45" s="137"/>
      <c r="J45" s="137"/>
      <c r="K45" s="137"/>
      <c r="L45" s="137"/>
    </row>
    <row r="46" spans="2:24" ht="43.25" customHeight="1" x14ac:dyDescent="0.3">
      <c r="E46" s="194"/>
      <c r="F46" s="194"/>
      <c r="G46" s="207"/>
      <c r="H46" s="208" t="s">
        <v>24</v>
      </c>
      <c r="I46" s="208" t="s">
        <v>199</v>
      </c>
      <c r="J46" s="208" t="s">
        <v>201</v>
      </c>
      <c r="K46" s="208" t="s">
        <v>404</v>
      </c>
      <c r="L46" s="345" t="s">
        <v>484</v>
      </c>
      <c r="M46" s="345" t="s">
        <v>485</v>
      </c>
      <c r="N46" s="208"/>
    </row>
    <row r="47" spans="2:24" ht="14.5" x14ac:dyDescent="0.35">
      <c r="E47" s="445" t="s">
        <v>174</v>
      </c>
      <c r="F47" s="445"/>
      <c r="G47" s="445"/>
      <c r="H47" s="209">
        <f>+U39</f>
        <v>0</v>
      </c>
      <c r="I47" s="298">
        <f>+H47*$J$47*$K$47</f>
        <v>0</v>
      </c>
      <c r="J47" s="298">
        <v>6.6</v>
      </c>
      <c r="K47" s="246">
        <v>3.42</v>
      </c>
      <c r="L47" s="344">
        <v>56.080975609756102</v>
      </c>
      <c r="M47" s="344">
        <f>+L47*K47*H47</f>
        <v>0</v>
      </c>
    </row>
    <row r="48" spans="2:24" ht="14.4" customHeight="1" x14ac:dyDescent="0.35">
      <c r="E48" s="445" t="s">
        <v>224</v>
      </c>
      <c r="F48" s="445"/>
      <c r="G48" s="445"/>
      <c r="H48" s="209"/>
      <c r="I48" s="298">
        <f>+J48*K48</f>
        <v>0</v>
      </c>
      <c r="J48" s="298">
        <f>1892/1000000</f>
        <v>1.892E-3</v>
      </c>
      <c r="K48" s="246">
        <f>+((15*4.4)*2.72)*0</f>
        <v>0</v>
      </c>
      <c r="L48" s="346">
        <v>1.6919982016368774E-2</v>
      </c>
      <c r="M48" s="344">
        <f>+L48*K48</f>
        <v>0</v>
      </c>
    </row>
    <row r="49" spans="2:13" ht="14.4" customHeight="1" x14ac:dyDescent="0.35">
      <c r="E49" s="445" t="s">
        <v>359</v>
      </c>
      <c r="F49" s="445"/>
      <c r="G49" s="445"/>
      <c r="H49" s="209"/>
      <c r="I49" s="298">
        <f>+J49*K49</f>
        <v>0</v>
      </c>
      <c r="J49" s="298">
        <v>0.340368</v>
      </c>
      <c r="K49" s="246">
        <v>0</v>
      </c>
      <c r="L49" s="346">
        <v>2.2358937544867188</v>
      </c>
      <c r="M49" s="344">
        <f>+L49*K49</f>
        <v>0</v>
      </c>
    </row>
    <row r="50" spans="2:13" ht="14.4" customHeight="1" x14ac:dyDescent="0.35">
      <c r="E50" s="445" t="s">
        <v>376</v>
      </c>
      <c r="F50" s="445"/>
      <c r="G50" s="445"/>
      <c r="H50" s="209">
        <v>0</v>
      </c>
      <c r="I50" s="298">
        <f>+H50*$J$50*$K$50</f>
        <v>0</v>
      </c>
      <c r="J50" s="298">
        <f>23683234/1000000</f>
        <v>23.683233999999999</v>
      </c>
      <c r="K50" s="226">
        <v>0</v>
      </c>
      <c r="L50" s="346">
        <v>254.98967741935485</v>
      </c>
      <c r="M50" s="344">
        <f>+L50*K50*H50</f>
        <v>0</v>
      </c>
    </row>
    <row r="51" spans="2:13" ht="14.4" customHeight="1" x14ac:dyDescent="0.35">
      <c r="E51" s="445" t="s">
        <v>236</v>
      </c>
      <c r="F51" s="445"/>
      <c r="G51" s="445"/>
      <c r="H51" s="209"/>
      <c r="I51" s="298">
        <f>+J51*K51</f>
        <v>0</v>
      </c>
      <c r="J51" s="298">
        <f>25508/1000000</f>
        <v>2.5507999999999999E-2</v>
      </c>
      <c r="K51" s="246">
        <f>7/(0.05)*0</f>
        <v>0</v>
      </c>
      <c r="L51" s="347" t="s">
        <v>486</v>
      </c>
      <c r="M51" s="349"/>
    </row>
    <row r="52" spans="2:13" ht="14.4" customHeight="1" x14ac:dyDescent="0.35">
      <c r="E52" s="445" t="s">
        <v>451</v>
      </c>
      <c r="F52" s="445"/>
      <c r="G52" s="445"/>
      <c r="H52" s="209">
        <v>1</v>
      </c>
      <c r="I52" s="298">
        <f>H52*J52</f>
        <v>7.9892054999999997</v>
      </c>
      <c r="J52" s="298">
        <f>15978411/2000000</f>
        <v>7.9892054999999997</v>
      </c>
      <c r="K52" s="246"/>
      <c r="L52" s="347" t="s">
        <v>486</v>
      </c>
      <c r="M52" s="344"/>
    </row>
    <row r="53" spans="2:13" ht="14.4" customHeight="1" x14ac:dyDescent="0.35">
      <c r="E53" s="445" t="s">
        <v>298</v>
      </c>
      <c r="F53" s="445"/>
      <c r="G53" s="445"/>
      <c r="H53" s="209"/>
      <c r="I53" s="210">
        <f>SUM(I47:I52)</f>
        <v>7.9892054999999997</v>
      </c>
      <c r="J53" s="214"/>
      <c r="K53" s="246"/>
      <c r="L53" s="344"/>
      <c r="M53" s="344"/>
    </row>
    <row r="54" spans="2:13" ht="14.4" customHeight="1" x14ac:dyDescent="0.35">
      <c r="E54" s="227"/>
      <c r="F54" s="227"/>
      <c r="G54" s="227"/>
      <c r="H54" s="209"/>
      <c r="I54" s="210"/>
      <c r="J54" s="214"/>
      <c r="K54" s="246"/>
      <c r="L54" s="344"/>
      <c r="M54" s="344"/>
    </row>
    <row r="55" spans="2:13" ht="14.4" customHeight="1" x14ac:dyDescent="0.35">
      <c r="E55" s="445" t="s">
        <v>175</v>
      </c>
      <c r="F55" s="445"/>
      <c r="G55" s="445"/>
      <c r="H55" s="209">
        <f>+U28</f>
        <v>0</v>
      </c>
      <c r="I55" s="210">
        <f>+H55*$J$55*$K$55</f>
        <v>0</v>
      </c>
      <c r="J55" s="211">
        <v>11.8</v>
      </c>
      <c r="K55" s="246">
        <v>4</v>
      </c>
      <c r="L55" s="344">
        <v>118.52055555555555</v>
      </c>
      <c r="M55" s="344">
        <f>+L55*K55*H55</f>
        <v>0</v>
      </c>
    </row>
    <row r="56" spans="2:13" ht="14.4" customHeight="1" x14ac:dyDescent="0.35">
      <c r="E56" s="445" t="s">
        <v>225</v>
      </c>
      <c r="F56" s="445"/>
      <c r="G56" s="445"/>
      <c r="H56" s="209"/>
      <c r="I56" s="210">
        <f>+J56*K56</f>
        <v>0</v>
      </c>
      <c r="J56" s="296">
        <f>+J48*0</f>
        <v>0</v>
      </c>
      <c r="K56" s="215">
        <f>+((15*2.8)*2.72)*K27</f>
        <v>0</v>
      </c>
      <c r="L56" s="346">
        <v>1.6919982016368774E-2</v>
      </c>
      <c r="M56" s="344">
        <f>+L56*K56</f>
        <v>0</v>
      </c>
    </row>
    <row r="57" spans="2:13" ht="14.4" customHeight="1" x14ac:dyDescent="0.35">
      <c r="E57" s="445" t="s">
        <v>532</v>
      </c>
      <c r="F57" s="445"/>
      <c r="G57" s="445"/>
      <c r="H57" s="209">
        <v>1</v>
      </c>
      <c r="I57" s="298">
        <f>+H57*$J$57*$K$57</f>
        <v>0.74320864860467062</v>
      </c>
      <c r="J57" s="298">
        <f>3653911/1000000</f>
        <v>3.6539109999999999</v>
      </c>
      <c r="K57" s="246">
        <f>+'Det. limpieza nieve.'!H24</f>
        <v>0.2034008624196568</v>
      </c>
      <c r="L57" s="347" t="s">
        <v>486</v>
      </c>
      <c r="M57" s="344"/>
    </row>
    <row r="58" spans="2:13" ht="14.4" customHeight="1" x14ac:dyDescent="0.35">
      <c r="E58" s="445" t="s">
        <v>297</v>
      </c>
      <c r="F58" s="445"/>
      <c r="G58" s="445"/>
      <c r="H58" s="209"/>
      <c r="I58" s="210">
        <f>SUM(I55:I57)</f>
        <v>0.74320864860467062</v>
      </c>
      <c r="J58" s="214"/>
      <c r="K58" s="246"/>
      <c r="L58" s="347"/>
      <c r="M58" s="349"/>
    </row>
    <row r="59" spans="2:13" ht="14.4" customHeight="1" x14ac:dyDescent="0.3">
      <c r="E59" s="227"/>
      <c r="F59" s="227"/>
      <c r="G59" s="227"/>
      <c r="H59" s="209"/>
      <c r="I59" s="210"/>
      <c r="J59" s="214"/>
      <c r="K59" s="246"/>
      <c r="L59" s="213"/>
      <c r="M59" s="352">
        <f>SUM(M47:M58)</f>
        <v>0</v>
      </c>
    </row>
    <row r="60" spans="2:13" ht="14.4" customHeight="1" x14ac:dyDescent="0.3">
      <c r="L60" s="213"/>
    </row>
    <row r="61" spans="2:13" ht="7.75" customHeight="1" thickBot="1" x14ac:dyDescent="0.35"/>
    <row r="62" spans="2:13" ht="30" customHeight="1" thickBot="1" x14ac:dyDescent="0.35">
      <c r="B62" s="191"/>
      <c r="C62" s="446" t="s">
        <v>88</v>
      </c>
      <c r="D62" s="446"/>
      <c r="E62" s="192"/>
      <c r="F62" s="192"/>
      <c r="G62" s="192"/>
      <c r="H62" s="192"/>
      <c r="I62" s="216"/>
      <c r="J62" s="193"/>
    </row>
    <row r="63" spans="2:13" ht="38" customHeight="1" x14ac:dyDescent="0.3">
      <c r="C63" s="217" t="s">
        <v>89</v>
      </c>
      <c r="D63" s="195">
        <f>SUMPRODUCT((LEFT(G21:G36, 5)="Jumbo") / (COUNTIF(G21:G36, G21:G36 &amp; "") + (G21:G36="")))</f>
        <v>0</v>
      </c>
      <c r="E63" s="447" t="s">
        <v>90</v>
      </c>
      <c r="F63" s="447"/>
      <c r="G63" s="218">
        <v>0.20833333333333334</v>
      </c>
      <c r="I63" s="139"/>
      <c r="J63" s="190"/>
    </row>
    <row r="64" spans="2:13" ht="38" customHeight="1" x14ac:dyDescent="0.3">
      <c r="E64" s="447" t="s">
        <v>93</v>
      </c>
      <c r="F64" s="447"/>
      <c r="G64" s="195">
        <f>15000/(60)</f>
        <v>250</v>
      </c>
      <c r="H64" s="219" t="s">
        <v>143</v>
      </c>
      <c r="I64" s="139"/>
      <c r="J64" s="190"/>
    </row>
    <row r="65" spans="2:10" ht="38" customHeight="1" x14ac:dyDescent="0.3">
      <c r="E65" s="448" t="s">
        <v>91</v>
      </c>
      <c r="F65" s="448"/>
      <c r="G65" s="207" t="e">
        <f>+SUM(SUMIF($G$21:$G$36, "Jumbo*", $J$21:$J$36))/SUMPRODUCT((LEFT(G21:G36, 5)="Jumbo") / (COUNTIF(G21:G36, G21:G36 &amp; "") + (G21:G36="")))</f>
        <v>#DIV/0!</v>
      </c>
      <c r="H65" s="220" t="e">
        <f>+G65*24/($G$63*24)</f>
        <v>#DIV/0!</v>
      </c>
      <c r="I65" s="190"/>
      <c r="J65" s="190"/>
    </row>
    <row r="66" spans="2:10" ht="38" customHeight="1" x14ac:dyDescent="0.3">
      <c r="E66" s="448" t="s">
        <v>92</v>
      </c>
      <c r="F66" s="448"/>
      <c r="G66" s="221" t="e">
        <f>+SUM(V21:V36)/D63</f>
        <v>#DIV/0!</v>
      </c>
      <c r="H66" s="220" t="e">
        <f>+G66/G64</f>
        <v>#DIV/0!</v>
      </c>
      <c r="I66" s="190"/>
      <c r="J66" s="190"/>
    </row>
    <row r="67" spans="2:10" ht="38" customHeight="1" x14ac:dyDescent="0.3">
      <c r="G67" s="222" t="s">
        <v>87</v>
      </c>
      <c r="H67" s="139" t="s">
        <v>23</v>
      </c>
    </row>
    <row r="68" spans="2:10" ht="20" customHeight="1" x14ac:dyDescent="0.3">
      <c r="F68" s="208" t="s">
        <v>65</v>
      </c>
      <c r="G68" s="221">
        <f t="shared" ref="G68:G73" si="9" xml:space="preserve"> SUMIF($G$21:$G$36, +F68,$V$21:$V$36)</f>
        <v>0</v>
      </c>
      <c r="H68" s="220">
        <f t="shared" ref="H68:H73" si="10">+G68/$G$64</f>
        <v>0</v>
      </c>
    </row>
    <row r="69" spans="2:10" ht="20" customHeight="1" x14ac:dyDescent="0.3">
      <c r="F69" s="208" t="s">
        <v>66</v>
      </c>
      <c r="G69" s="221">
        <f t="shared" si="9"/>
        <v>0</v>
      </c>
      <c r="H69" s="220">
        <f t="shared" si="10"/>
        <v>0</v>
      </c>
    </row>
    <row r="70" spans="2:10" ht="20" customHeight="1" x14ac:dyDescent="0.3">
      <c r="F70" s="208" t="s">
        <v>67</v>
      </c>
      <c r="G70" s="221">
        <f t="shared" si="9"/>
        <v>0</v>
      </c>
      <c r="H70" s="220">
        <f t="shared" si="10"/>
        <v>0</v>
      </c>
    </row>
    <row r="71" spans="2:10" ht="20" customHeight="1" x14ac:dyDescent="0.3">
      <c r="F71" s="208" t="s">
        <v>68</v>
      </c>
      <c r="G71" s="221">
        <f t="shared" si="9"/>
        <v>0</v>
      </c>
      <c r="H71" s="220">
        <f t="shared" si="10"/>
        <v>0</v>
      </c>
    </row>
    <row r="72" spans="2:10" ht="20" customHeight="1" x14ac:dyDescent="0.3">
      <c r="F72" s="208" t="s">
        <v>69</v>
      </c>
      <c r="G72" s="221">
        <f t="shared" si="9"/>
        <v>0</v>
      </c>
      <c r="H72" s="220">
        <f t="shared" si="10"/>
        <v>0</v>
      </c>
    </row>
    <row r="73" spans="2:10" ht="20" customHeight="1" x14ac:dyDescent="0.3">
      <c r="F73" s="208" t="s">
        <v>70</v>
      </c>
      <c r="G73" s="221">
        <f t="shared" si="9"/>
        <v>0</v>
      </c>
      <c r="H73" s="220">
        <f t="shared" si="10"/>
        <v>0</v>
      </c>
    </row>
    <row r="74" spans="2:10" ht="20" customHeight="1" x14ac:dyDescent="0.3">
      <c r="F74" s="208" t="s">
        <v>146</v>
      </c>
      <c r="G74" s="223">
        <f>+SUM(G68:G73)</f>
        <v>0</v>
      </c>
      <c r="H74" s="220" t="e">
        <f>+G74/($G$64*$D$63)</f>
        <v>#DIV/0!</v>
      </c>
    </row>
    <row r="75" spans="2:10" ht="13.5" thickBot="1" x14ac:dyDescent="0.35"/>
    <row r="76" spans="2:10" ht="30" customHeight="1" thickBot="1" x14ac:dyDescent="0.35">
      <c r="B76" s="191"/>
      <c r="C76" s="446" t="s">
        <v>107</v>
      </c>
      <c r="D76" s="446"/>
      <c r="E76" s="192"/>
      <c r="F76" s="192"/>
      <c r="G76" s="192"/>
      <c r="H76" s="192"/>
      <c r="I76" s="216"/>
      <c r="J76" s="193"/>
    </row>
    <row r="77" spans="2:10" ht="38" customHeight="1" x14ac:dyDescent="0.3">
      <c r="C77" s="208" t="s">
        <v>95</v>
      </c>
      <c r="D77" s="195">
        <f>SUMPRODUCT((LEFT(G21:G36, 5)="Scoop") / (COUNTIF(G21:G36, G21:G36 &amp; "") + (G21:G36="")))</f>
        <v>0</v>
      </c>
      <c r="E77" s="447" t="s">
        <v>90</v>
      </c>
      <c r="F77" s="447"/>
      <c r="G77" s="218">
        <v>0.20833333333333334</v>
      </c>
      <c r="I77" s="139"/>
      <c r="J77" s="190"/>
    </row>
    <row r="78" spans="2:10" ht="38" customHeight="1" x14ac:dyDescent="0.3">
      <c r="C78" s="208" t="s">
        <v>145</v>
      </c>
      <c r="D78" s="195">
        <v>4.9000000000000004</v>
      </c>
      <c r="E78" s="447" t="s">
        <v>97</v>
      </c>
      <c r="F78" s="447"/>
      <c r="G78" s="195">
        <f>15000/(60)</f>
        <v>250</v>
      </c>
      <c r="H78" s="219" t="s">
        <v>23</v>
      </c>
      <c r="I78" s="139"/>
      <c r="J78" s="190"/>
    </row>
    <row r="79" spans="2:10" ht="38" customHeight="1" x14ac:dyDescent="0.3">
      <c r="E79" s="448" t="s">
        <v>98</v>
      </c>
      <c r="F79" s="448"/>
      <c r="G79" s="207" t="e">
        <f>+SUM(SUMIF($G$21:$G$36, "Scoop*", $J$21:$J$36))/SUMPRODUCT((LEFT(G21:G36, 5)="Scoop") / (COUNTIF(G21:G36, G21:G36 &amp; "") + (G21:G36="")))</f>
        <v>#DIV/0!</v>
      </c>
      <c r="H79" s="220" t="e">
        <f>+G79*24/($G$77*24)</f>
        <v>#DIV/0!</v>
      </c>
      <c r="I79" s="190"/>
      <c r="J79" s="190"/>
    </row>
    <row r="80" spans="2:10" ht="38" customHeight="1" x14ac:dyDescent="0.3">
      <c r="E80" s="448" t="s">
        <v>99</v>
      </c>
      <c r="F80" s="448"/>
      <c r="G80" s="221" t="e">
        <f>+SUM(W21:W36)*D78/D77</f>
        <v>#DIV/0!</v>
      </c>
      <c r="H80" s="220" t="e">
        <f>+G80/G78</f>
        <v>#DIV/0!</v>
      </c>
      <c r="I80" s="190"/>
      <c r="J80" s="190"/>
    </row>
    <row r="81" spans="2:10" ht="38" customHeight="1" x14ac:dyDescent="0.3">
      <c r="G81" s="222" t="s">
        <v>96</v>
      </c>
      <c r="H81" s="139" t="s">
        <v>23</v>
      </c>
    </row>
    <row r="82" spans="2:10" ht="20" customHeight="1" x14ac:dyDescent="0.3">
      <c r="F82" s="208" t="s">
        <v>71</v>
      </c>
      <c r="G82" s="221">
        <f t="shared" ref="G82:G87" si="11" xml:space="preserve"> SUMIF($G$21:$G$36, +F82,$W$21:$W$36)*$D$78</f>
        <v>0</v>
      </c>
      <c r="H82" s="220">
        <f>+G82/$G$78</f>
        <v>0</v>
      </c>
    </row>
    <row r="83" spans="2:10" ht="20" customHeight="1" x14ac:dyDescent="0.3">
      <c r="F83" s="208" t="s">
        <v>72</v>
      </c>
      <c r="G83" s="221">
        <f t="shared" si="11"/>
        <v>0</v>
      </c>
      <c r="H83" s="220">
        <f t="shared" ref="H83:H88" si="12">+G83/$G$78</f>
        <v>0</v>
      </c>
    </row>
    <row r="84" spans="2:10" ht="20" customHeight="1" x14ac:dyDescent="0.3">
      <c r="F84" s="208" t="s">
        <v>73</v>
      </c>
      <c r="G84" s="221">
        <f t="shared" si="11"/>
        <v>0</v>
      </c>
      <c r="H84" s="220">
        <f t="shared" si="12"/>
        <v>0</v>
      </c>
    </row>
    <row r="85" spans="2:10" ht="20" customHeight="1" x14ac:dyDescent="0.3">
      <c r="F85" s="208" t="s">
        <v>74</v>
      </c>
      <c r="G85" s="221">
        <f t="shared" si="11"/>
        <v>0</v>
      </c>
      <c r="H85" s="220">
        <f t="shared" si="12"/>
        <v>0</v>
      </c>
    </row>
    <row r="86" spans="2:10" ht="20" customHeight="1" x14ac:dyDescent="0.3">
      <c r="F86" s="208" t="s">
        <v>75</v>
      </c>
      <c r="G86" s="221">
        <f t="shared" si="11"/>
        <v>0</v>
      </c>
      <c r="H86" s="220">
        <f t="shared" si="12"/>
        <v>0</v>
      </c>
    </row>
    <row r="87" spans="2:10" ht="20" customHeight="1" x14ac:dyDescent="0.3">
      <c r="F87" s="208" t="s">
        <v>76</v>
      </c>
      <c r="G87" s="221">
        <f t="shared" si="11"/>
        <v>0</v>
      </c>
      <c r="H87" s="220">
        <f t="shared" si="12"/>
        <v>0</v>
      </c>
    </row>
    <row r="88" spans="2:10" ht="20" customHeight="1" x14ac:dyDescent="0.3">
      <c r="F88" s="208" t="s">
        <v>146</v>
      </c>
      <c r="G88" s="223">
        <f>+SUM(G82:G87)</f>
        <v>0</v>
      </c>
      <c r="H88" s="220">
        <f t="shared" si="12"/>
        <v>0</v>
      </c>
    </row>
    <row r="89" spans="2:10" ht="13.5" thickBot="1" x14ac:dyDescent="0.35"/>
    <row r="90" spans="2:10" ht="30" customHeight="1" thickBot="1" x14ac:dyDescent="0.35">
      <c r="B90" s="191"/>
      <c r="C90" s="446" t="s">
        <v>149</v>
      </c>
      <c r="D90" s="446"/>
      <c r="E90" s="192"/>
      <c r="F90" s="192"/>
      <c r="G90" s="192"/>
      <c r="H90" s="192"/>
      <c r="I90" s="216"/>
      <c r="J90" s="193"/>
    </row>
    <row r="91" spans="2:10" ht="25.25" customHeight="1" x14ac:dyDescent="0.3">
      <c r="C91" s="208" t="s">
        <v>150</v>
      </c>
      <c r="D91" s="195">
        <f>SUMPRODUCT((LEFT(G21:G36, 8)="Roboshot") / (COUNTIF(G21:G36, G21:G36 &amp; "") + (G21:G36="")))</f>
        <v>0</v>
      </c>
      <c r="E91" s="447" t="s">
        <v>90</v>
      </c>
      <c r="F91" s="447"/>
      <c r="G91" s="218">
        <v>0.20833333333333334</v>
      </c>
    </row>
    <row r="92" spans="2:10" x14ac:dyDescent="0.3">
      <c r="C92" s="208"/>
      <c r="D92" s="195"/>
      <c r="E92" s="447" t="s">
        <v>97</v>
      </c>
      <c r="F92" s="447"/>
      <c r="G92" s="195">
        <v>12</v>
      </c>
      <c r="H92" s="219" t="s">
        <v>23</v>
      </c>
    </row>
    <row r="94" spans="2:10" x14ac:dyDescent="0.3">
      <c r="G94" s="222" t="s">
        <v>96</v>
      </c>
      <c r="H94" s="139" t="s">
        <v>23</v>
      </c>
    </row>
    <row r="95" spans="2:10" x14ac:dyDescent="0.3">
      <c r="F95" s="208" t="s">
        <v>77</v>
      </c>
      <c r="G95" s="221">
        <f xml:space="preserve"> SUMIF($G$21:$G$36, +F95,$X$21:$X$36)</f>
        <v>0</v>
      </c>
      <c r="H95" s="220">
        <f>+G95/$G$92</f>
        <v>0</v>
      </c>
    </row>
    <row r="96" spans="2:10" x14ac:dyDescent="0.3">
      <c r="F96" s="208" t="s">
        <v>78</v>
      </c>
      <c r="G96" s="221">
        <f xml:space="preserve"> SUMIF($G$21:$G$36, +F96,$X$21:$X$36)</f>
        <v>0</v>
      </c>
      <c r="H96" s="220">
        <f t="shared" ref="H96:H97" si="13">+G96/$G$92</f>
        <v>0</v>
      </c>
    </row>
    <row r="97" spans="6:8" x14ac:dyDescent="0.3">
      <c r="F97" s="208" t="s">
        <v>79</v>
      </c>
      <c r="G97" s="221">
        <f xml:space="preserve"> SUMIF($G$21:$G$36, +F97,$X$21:$X$36)</f>
        <v>0</v>
      </c>
      <c r="H97" s="220">
        <f t="shared" si="13"/>
        <v>0</v>
      </c>
    </row>
    <row r="98" spans="6:8" x14ac:dyDescent="0.3">
      <c r="F98" s="208" t="s">
        <v>146</v>
      </c>
      <c r="G98" s="223">
        <f>+SUM(G95:G97)</f>
        <v>0</v>
      </c>
      <c r="H98" s="220">
        <f>+G98/$G$92</f>
        <v>0</v>
      </c>
    </row>
  </sheetData>
  <mergeCells count="42">
    <mergeCell ref="E47:G47"/>
    <mergeCell ref="E48:G48"/>
    <mergeCell ref="K8:L8"/>
    <mergeCell ref="B1:D4"/>
    <mergeCell ref="E2:R2"/>
    <mergeCell ref="E3:R4"/>
    <mergeCell ref="K6:L6"/>
    <mergeCell ref="K7:L7"/>
    <mergeCell ref="E56:G56"/>
    <mergeCell ref="E57:G57"/>
    <mergeCell ref="E58:G58"/>
    <mergeCell ref="E49:G49"/>
    <mergeCell ref="K9:L9"/>
    <mergeCell ref="K10:L10"/>
    <mergeCell ref="K11:L11"/>
    <mergeCell ref="K12:L12"/>
    <mergeCell ref="B14:S14"/>
    <mergeCell ref="C41:D41"/>
    <mergeCell ref="G41:H41"/>
    <mergeCell ref="I41:J41"/>
    <mergeCell ref="K41:L41"/>
    <mergeCell ref="E42:F42"/>
    <mergeCell ref="E43:F43"/>
    <mergeCell ref="E44:F44"/>
    <mergeCell ref="E50:G50"/>
    <mergeCell ref="E51:G51"/>
    <mergeCell ref="E52:G52"/>
    <mergeCell ref="E53:G53"/>
    <mergeCell ref="E55:G55"/>
    <mergeCell ref="C62:D62"/>
    <mergeCell ref="E63:F63"/>
    <mergeCell ref="E64:F64"/>
    <mergeCell ref="C90:D90"/>
    <mergeCell ref="E91:F91"/>
    <mergeCell ref="E65:F65"/>
    <mergeCell ref="E92:F92"/>
    <mergeCell ref="E66:F66"/>
    <mergeCell ref="C76:D76"/>
    <mergeCell ref="E77:F77"/>
    <mergeCell ref="E78:F78"/>
    <mergeCell ref="E79:F79"/>
    <mergeCell ref="E80:F80"/>
  </mergeCells>
  <conditionalFormatting sqref="H43:H44 J43:J44">
    <cfRule type="cellIs" dxfId="83" priority="13" operator="greaterThan">
      <formula>0.9</formula>
    </cfRule>
    <cfRule type="cellIs" dxfId="82" priority="14" operator="between">
      <formula>0.81</formula>
      <formula>0.89</formula>
    </cfRule>
    <cfRule type="cellIs" dxfId="81" priority="15" operator="lessThan">
      <formula>0.8</formula>
    </cfRule>
  </conditionalFormatting>
  <conditionalFormatting sqref="H65:H66">
    <cfRule type="cellIs" dxfId="80" priority="16" operator="greaterThan">
      <formula>0.9</formula>
    </cfRule>
    <cfRule type="cellIs" dxfId="79" priority="17" operator="between">
      <formula>0.81</formula>
      <formula>0.89</formula>
    </cfRule>
    <cfRule type="cellIs" dxfId="78" priority="18" operator="lessThan">
      <formula>0.8</formula>
    </cfRule>
  </conditionalFormatting>
  <conditionalFormatting sqref="H68:H74">
    <cfRule type="cellIs" dxfId="77" priority="19" operator="greaterThan">
      <formula>0.9</formula>
    </cfRule>
    <cfRule type="cellIs" dxfId="76" priority="20" operator="between">
      <formula>0.81</formula>
      <formula>0.89</formula>
    </cfRule>
    <cfRule type="cellIs" dxfId="75" priority="21" operator="lessThan">
      <formula>0.8</formula>
    </cfRule>
  </conditionalFormatting>
  <conditionalFormatting sqref="H79:H80">
    <cfRule type="cellIs" dxfId="74" priority="7" operator="greaterThan">
      <formula>0.9</formula>
    </cfRule>
    <cfRule type="cellIs" dxfId="73" priority="8" operator="between">
      <formula>0.81</formula>
      <formula>0.89</formula>
    </cfRule>
    <cfRule type="cellIs" dxfId="72" priority="9" operator="lessThan">
      <formula>0.8</formula>
    </cfRule>
  </conditionalFormatting>
  <conditionalFormatting sqref="H82:H88">
    <cfRule type="cellIs" dxfId="71" priority="10" operator="greaterThan">
      <formula>0.9</formula>
    </cfRule>
    <cfRule type="cellIs" dxfId="70" priority="11" operator="between">
      <formula>0.81</formula>
      <formula>0.89</formula>
    </cfRule>
    <cfRule type="cellIs" dxfId="69" priority="12" operator="lessThan">
      <formula>0.8</formula>
    </cfRule>
  </conditionalFormatting>
  <conditionalFormatting sqref="H95:H98">
    <cfRule type="cellIs" dxfId="68" priority="4" operator="greaterThan">
      <formula>0.9</formula>
    </cfRule>
    <cfRule type="cellIs" dxfId="67" priority="5" operator="between">
      <formula>0.81</formula>
      <formula>0.89</formula>
    </cfRule>
    <cfRule type="cellIs" dxfId="66" priority="6" operator="lessThan">
      <formula>0.8</formula>
    </cfRule>
  </conditionalFormatting>
  <conditionalFormatting sqref="L43:L44">
    <cfRule type="cellIs" dxfId="65" priority="1" operator="greaterThan">
      <formula>0.9</formula>
    </cfRule>
    <cfRule type="cellIs" dxfId="64" priority="2" operator="between">
      <formula>0.81</formula>
      <formula>0.89</formula>
    </cfRule>
    <cfRule type="cellIs" dxfId="63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1207BE7-77DC-4892-AA33-2C7C26F560DE}">
          <x14:formula1>
            <xm:f>Datos!$H$3:$H$26</xm:f>
          </x14:formula1>
          <xm:sqref>D28 D39</xm:sqref>
        </x14:dataValidation>
        <x14:dataValidation type="list" allowBlank="1" showInputMessage="1" showErrorMessage="1" xr:uid="{D00124BC-0764-4C48-BF46-E0CBA8B4822D}">
          <x14:formula1>
            <xm:f>Datos!$H$3:$H$34</xm:f>
          </x14:formula1>
          <xm:sqref>D31:D38 D21:D27</xm:sqref>
        </x14:dataValidation>
        <x14:dataValidation type="list" allowBlank="1" showInputMessage="1" showErrorMessage="1" xr:uid="{51E30ECB-A3EF-4206-8A2B-5761C7A42910}">
          <x14:formula1>
            <xm:f>Datos!$B$3:$B$8</xm:f>
          </x14:formula1>
          <xm:sqref>E31:E39 E21:E28</xm:sqref>
        </x14:dataValidation>
        <x14:dataValidation type="list" allowBlank="1" showInputMessage="1" showErrorMessage="1" xr:uid="{07E9088D-BFC2-4ED4-A3EC-57F55A8BA185}">
          <x14:formula1>
            <xm:f>Datos!$D$3:$D$27</xm:f>
          </x14:formula1>
          <xm:sqref>F31:F39 F21:F28</xm:sqref>
        </x14:dataValidation>
        <x14:dataValidation type="list" allowBlank="1" showInputMessage="1" showErrorMessage="1" xr:uid="{95277694-F8D1-4BBE-89C1-47AC69C72B99}">
          <x14:formula1>
            <xm:f>Datos!$W$3:$W$12</xm:f>
          </x14:formula1>
          <xm:sqref>L31:L39 L21:L28</xm:sqref>
        </x14:dataValidation>
        <x14:dataValidation type="list" allowBlank="1" showInputMessage="1" showErrorMessage="1" xr:uid="{BB4E964F-1187-46EE-BA67-47D4BC1B2B69}">
          <x14:formula1>
            <xm:f>Datos!$F$3:$F$41</xm:f>
          </x14:formula1>
          <xm:sqref>G31:G39 G21:G28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4C77B-720E-406D-A000-14203E9FC3A9}">
  <sheetPr>
    <pageSetUpPr fitToPage="1"/>
  </sheetPr>
  <dimension ref="B1:X95"/>
  <sheetViews>
    <sheetView showGridLines="0" topLeftCell="A19" zoomScale="115" zoomScaleNormal="115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H54" sqref="H54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6.90625" style="134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+G41</f>
        <v>1.2118055555555556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+H42</f>
        <v>0.25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+G71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+G85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+G95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">
        <v>493</v>
      </c>
      <c r="D21" s="173" t="s">
        <v>172</v>
      </c>
      <c r="E21" s="172" t="s">
        <v>6</v>
      </c>
      <c r="F21" s="172" t="s">
        <v>165</v>
      </c>
      <c r="G21" s="172"/>
      <c r="H21" s="174">
        <v>0.84722222222222221</v>
      </c>
      <c r="I21" s="174">
        <v>0.89930555555555558</v>
      </c>
      <c r="J21" s="175">
        <f t="shared" ref="J21:J24" si="0">MOD(I21-H21, 1)</f>
        <v>5.208333333333337E-2</v>
      </c>
      <c r="K21" s="178"/>
      <c r="L21" s="177"/>
      <c r="M21" s="178"/>
      <c r="N21" s="179">
        <v>1</v>
      </c>
      <c r="O21" s="186" t="s">
        <v>548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">
        <v>493</v>
      </c>
      <c r="D22" s="173" t="s">
        <v>51</v>
      </c>
      <c r="E22" s="172" t="s">
        <v>6</v>
      </c>
      <c r="F22" s="172" t="s">
        <v>165</v>
      </c>
      <c r="G22" s="172"/>
      <c r="H22" s="174">
        <v>0.90277777777777779</v>
      </c>
      <c r="I22" s="174">
        <v>0.10416666666666667</v>
      </c>
      <c r="J22" s="175">
        <f t="shared" si="0"/>
        <v>0.20138888888888884</v>
      </c>
      <c r="K22" s="178"/>
      <c r="L22" s="177"/>
      <c r="M22" s="178"/>
      <c r="N22" s="179">
        <v>0</v>
      </c>
      <c r="O22" s="186" t="s">
        <v>549</v>
      </c>
      <c r="P22" s="181"/>
      <c r="Q22" s="174"/>
      <c r="R22" s="172"/>
      <c r="S22" s="175">
        <f t="shared" ref="S22:S26" si="1">+MOD(R22-Q22,1)</f>
        <v>0</v>
      </c>
      <c r="U22" s="182">
        <f>+IFERROR(VLOOKUP(D22,Datos!$R$3:$T$19,3,FALSE), "0")*N22</f>
        <v>0</v>
      </c>
      <c r="V22" s="183" t="str">
        <f t="shared" ref="V22:V26" si="2">IF(OR(D22="Perforación de Fortificación", D22="Perforación de Avance", D22="Perforación Desquinche"), K22*M22, "")</f>
        <v/>
      </c>
      <c r="W22" s="183" t="str">
        <f t="shared" ref="W22:W26" si="3">IF(D22="Extracción de Marina Disparo",K22,"")</f>
        <v/>
      </c>
      <c r="X22" s="183" t="str">
        <f t="shared" ref="X22:X26" si="4">IF(OR(D22="Shotcrete", D22="Pre Shotcrete"), K22, "")</f>
        <v/>
      </c>
    </row>
    <row r="23" spans="2:24" ht="38" customHeight="1" x14ac:dyDescent="0.3">
      <c r="B23" s="172">
        <v>3500</v>
      </c>
      <c r="C23" s="173" t="s">
        <v>493</v>
      </c>
      <c r="D23" s="173" t="s">
        <v>51</v>
      </c>
      <c r="E23" s="172" t="s">
        <v>6</v>
      </c>
      <c r="F23" s="172" t="s">
        <v>165</v>
      </c>
      <c r="G23" s="172"/>
      <c r="H23" s="174">
        <v>0.16666666666666666</v>
      </c>
      <c r="I23" s="174">
        <v>0.125</v>
      </c>
      <c r="J23" s="175">
        <f t="shared" si="0"/>
        <v>0.95833333333333337</v>
      </c>
      <c r="K23" s="178"/>
      <c r="L23" s="177"/>
      <c r="M23" s="178"/>
      <c r="N23" s="179">
        <v>0</v>
      </c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">
        <v>493</v>
      </c>
      <c r="D24" s="173" t="s">
        <v>110</v>
      </c>
      <c r="E24" s="172" t="s">
        <v>6</v>
      </c>
      <c r="F24" s="172" t="s">
        <v>165</v>
      </c>
      <c r="G24" s="172"/>
      <c r="H24" s="174">
        <v>0.1736111111111111</v>
      </c>
      <c r="I24" s="174">
        <v>0.25</v>
      </c>
      <c r="J24" s="175">
        <f t="shared" si="0"/>
        <v>7.6388888888888895E-2</v>
      </c>
      <c r="K24" s="178"/>
      <c r="L24" s="177"/>
      <c r="M24" s="178"/>
      <c r="N24" s="179">
        <v>0</v>
      </c>
      <c r="O24" s="186" t="s">
        <v>550</v>
      </c>
      <c r="P24" s="181"/>
      <c r="Q24" s="174"/>
      <c r="R24" s="172"/>
      <c r="S24" s="175">
        <f t="shared" si="1"/>
        <v>0</v>
      </c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186"/>
      <c r="P25" s="181"/>
      <c r="Q25" s="174"/>
      <c r="R25" s="172"/>
      <c r="S25" s="175">
        <f t="shared" si="1"/>
        <v>0</v>
      </c>
      <c r="U25" s="182">
        <f>+IFERROR(VLOOKUP(D25,Datos!$R$3:$T$19,3,FALSE), "0")*N25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 t="s">
        <v>329</v>
      </c>
      <c r="J26" s="175">
        <f>MOD(I24-H21, 1)</f>
        <v>0.40277777777777779</v>
      </c>
      <c r="K26" s="178"/>
      <c r="L26" s="177"/>
      <c r="M26" s="178"/>
      <c r="N26" s="179"/>
      <c r="O26" s="390" t="s">
        <v>543</v>
      </c>
      <c r="P26" s="172"/>
      <c r="Q26" s="172"/>
      <c r="R26" s="172"/>
      <c r="S26" s="175">
        <f t="shared" si="1"/>
        <v>0</v>
      </c>
      <c r="U26" s="182">
        <f>SUM(U21:U23)</f>
        <v>0</v>
      </c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 t="s">
        <v>110</v>
      </c>
      <c r="E29" s="172" t="s">
        <v>6</v>
      </c>
      <c r="F29" s="172" t="s">
        <v>166</v>
      </c>
      <c r="G29" s="172"/>
      <c r="H29" s="174">
        <v>0.83333333333333337</v>
      </c>
      <c r="I29" s="174">
        <v>1.3333333333333333</v>
      </c>
      <c r="J29" s="175">
        <f>I29-H29</f>
        <v>0.49999999999999989</v>
      </c>
      <c r="K29" s="178"/>
      <c r="L29" s="177"/>
      <c r="M29" s="178"/>
      <c r="N29" s="179">
        <v>1</v>
      </c>
      <c r="O29" s="186" t="s">
        <v>428</v>
      </c>
      <c r="P29" s="225"/>
      <c r="Q29" s="174"/>
      <c r="R29" s="174"/>
      <c r="S29" s="175"/>
      <c r="U29" s="187">
        <f>+IFERROR(VLOOKUP(D29,Datos!$R$24:$T$40,3,FALSE), "0")*N29</f>
        <v>0</v>
      </c>
      <c r="V29" s="183" t="str">
        <f t="shared" ref="V29:V37" si="5">IF(OR(D29="Perforación de Fortificación", D29="Perforación de Avance", D29="Perforación Desquinche"), K29*M29, "")</f>
        <v/>
      </c>
      <c r="W29" s="183" t="str">
        <f>IF(D29="Extracción de Marina Disparo",K29,"")</f>
        <v/>
      </c>
      <c r="X29" s="183" t="str">
        <f t="shared" ref="X29:X37" si="6">IF(OR(D29="Shotcrete", D29="Pre Shotcrete"), K29, "")</f>
        <v/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73"/>
      <c r="Q30" s="174"/>
      <c r="R30" s="174"/>
      <c r="S30" s="175"/>
      <c r="U30" s="187">
        <f>+IFERROR(VLOOKUP(D30,Datos!$R$24:$T$40,3,FALSE), "0")*N30</f>
        <v>0</v>
      </c>
      <c r="V30" s="183" t="str">
        <f t="shared" si="5"/>
        <v/>
      </c>
      <c r="W30" s="183" t="str">
        <f>IF(D30="Extracción de Marina Disparo",K30,"")</f>
        <v/>
      </c>
      <c r="X30" s="183" t="str">
        <f t="shared" si="6"/>
        <v/>
      </c>
    </row>
    <row r="31" spans="2:24" ht="53.4" customHeight="1" x14ac:dyDescent="0.3">
      <c r="B31" s="172">
        <v>3700</v>
      </c>
      <c r="C31" s="173" t="str">
        <f>+C29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81"/>
      <c r="Q31" s="174"/>
      <c r="R31" s="174"/>
      <c r="S31" s="175"/>
      <c r="U31" s="187">
        <f>+IFERROR(VLOOKUP(D31,Datos!$R$24:$T$40,3,FALSE), "0")*N31</f>
        <v>0</v>
      </c>
      <c r="V31" s="183" t="str">
        <f t="shared" si="5"/>
        <v/>
      </c>
      <c r="W31" s="183" t="str">
        <f t="shared" ref="W31:W37" si="7">IF(D31="Extracción de Marina Disparo",K31,"")</f>
        <v/>
      </c>
      <c r="X31" s="183" t="str">
        <f t="shared" si="6"/>
        <v/>
      </c>
    </row>
    <row r="32" spans="2:24" ht="38" customHeight="1" x14ac:dyDescent="0.3">
      <c r="B32" s="172">
        <v>3700</v>
      </c>
      <c r="C32" s="173" t="s">
        <v>397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72"/>
      <c r="Q32" s="172"/>
      <c r="R32" s="172"/>
      <c r="S32" s="175"/>
      <c r="U32" s="187">
        <f>+IFERROR(VLOOKUP(D32,Datos!$R$24:$T$40,3,FALSE), "0")*N32</f>
        <v>0</v>
      </c>
      <c r="V32" s="183" t="str">
        <f t="shared" si="5"/>
        <v/>
      </c>
      <c r="W32" s="183" t="str">
        <f t="shared" si="7"/>
        <v/>
      </c>
      <c r="X32" s="183"/>
    </row>
    <row r="33" spans="2:24" ht="38" customHeight="1" x14ac:dyDescent="0.3">
      <c r="B33" s="172">
        <v>3700</v>
      </c>
      <c r="C33" s="173" t="str">
        <f>+C32</f>
        <v>Fróntón Bodega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81"/>
      <c r="Q33" s="174"/>
      <c r="R33" s="174"/>
      <c r="S33" s="175"/>
      <c r="U33" s="187">
        <f>+IFERROR(VLOOKUP(D33,Datos!$R$24:$T$40,3,FALSE), "0")*N33</f>
        <v>0</v>
      </c>
      <c r="V33" s="183" t="str">
        <f t="shared" si="5"/>
        <v/>
      </c>
      <c r="W33" s="183" t="str">
        <f t="shared" si="7"/>
        <v/>
      </c>
      <c r="X33" s="183" t="str">
        <f t="shared" si="6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225"/>
      <c r="P34" s="172"/>
      <c r="Q34" s="172"/>
      <c r="R34" s="172"/>
      <c r="S34" s="175">
        <f t="shared" ref="S34:S37" si="8">+MOD(R34-Q34,1)</f>
        <v>0</v>
      </c>
      <c r="U34" s="187">
        <f>+IFERROR(VLOOKUP(D34,Datos!$R$24:$T$40,3,FALSE), "0")*N34</f>
        <v>0</v>
      </c>
      <c r="V34" s="183" t="str">
        <f t="shared" si="5"/>
        <v/>
      </c>
      <c r="W34" s="183" t="str">
        <f t="shared" si="7"/>
        <v/>
      </c>
      <c r="X34" s="183" t="str">
        <f t="shared" si="6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8"/>
        <v>0</v>
      </c>
      <c r="U35" s="187"/>
      <c r="V35" s="183" t="str">
        <f t="shared" si="5"/>
        <v/>
      </c>
      <c r="W35" s="183" t="str">
        <f t="shared" si="7"/>
        <v/>
      </c>
      <c r="X35" s="183" t="str">
        <f t="shared" si="6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8"/>
        <v>0</v>
      </c>
      <c r="U36" s="187"/>
      <c r="V36" s="183" t="str">
        <f t="shared" si="5"/>
        <v/>
      </c>
      <c r="W36" s="183" t="str">
        <f t="shared" si="7"/>
        <v/>
      </c>
      <c r="X36" s="183" t="str">
        <f t="shared" si="6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 t="s">
        <v>329</v>
      </c>
      <c r="J37" s="175">
        <v>0</v>
      </c>
      <c r="K37" s="178"/>
      <c r="L37" s="177"/>
      <c r="M37" s="178"/>
      <c r="N37" s="179"/>
      <c r="O37" s="186"/>
      <c r="P37" s="172"/>
      <c r="Q37" s="172"/>
      <c r="R37" s="172"/>
      <c r="S37" s="175">
        <f t="shared" si="8"/>
        <v>0</v>
      </c>
      <c r="U37" s="182">
        <f>SUM(U29:U36)</f>
        <v>0</v>
      </c>
      <c r="V37" s="183" t="str">
        <f t="shared" si="5"/>
        <v/>
      </c>
      <c r="W37" s="183" t="str">
        <f t="shared" si="7"/>
        <v/>
      </c>
      <c r="X37" s="183" t="str">
        <f t="shared" si="6"/>
        <v/>
      </c>
    </row>
    <row r="38" spans="2:24" ht="15.65" customHeight="1" thickBot="1" x14ac:dyDescent="0.35">
      <c r="B38" s="190"/>
      <c r="C38" s="190"/>
      <c r="D38" s="190"/>
      <c r="E38" s="190"/>
      <c r="F38" s="190"/>
      <c r="G38" s="190"/>
      <c r="H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</row>
    <row r="39" spans="2:24" ht="30" customHeight="1" thickBot="1" x14ac:dyDescent="0.35">
      <c r="B39" s="191"/>
      <c r="C39" s="446" t="s">
        <v>64</v>
      </c>
      <c r="D39" s="446"/>
      <c r="E39" s="192"/>
      <c r="F39" s="192"/>
      <c r="G39" s="431">
        <v>3500</v>
      </c>
      <c r="H39" s="432"/>
      <c r="I39" s="431">
        <v>3700</v>
      </c>
      <c r="J39" s="432"/>
      <c r="K39" s="433" t="s">
        <v>146</v>
      </c>
      <c r="L39" s="434"/>
      <c r="M39" s="190"/>
      <c r="N39" s="190"/>
      <c r="O39" s="190"/>
      <c r="P39" s="190"/>
      <c r="Q39" s="190"/>
      <c r="R39" s="190"/>
      <c r="S39" s="190"/>
    </row>
    <row r="40" spans="2:24" ht="30" customHeight="1" x14ac:dyDescent="0.3">
      <c r="C40" s="194" t="s">
        <v>48</v>
      </c>
      <c r="D40" s="195">
        <f>SUMPRODUCT((LEFT(F21:F34, 1)="C") / (COUNTIF(F21:F34, F21:F34 &amp; "") + (F21:F34="")))</f>
        <v>0</v>
      </c>
      <c r="E40" s="447" t="s">
        <v>90</v>
      </c>
      <c r="F40" s="447"/>
      <c r="G40" s="196">
        <v>0.26041666666666669</v>
      </c>
      <c r="H40" s="197" t="s">
        <v>23</v>
      </c>
      <c r="I40" s="196">
        <v>0.26041666666666669</v>
      </c>
      <c r="J40" s="197" t="s">
        <v>23</v>
      </c>
      <c r="K40" s="198">
        <f>+G40</f>
        <v>0.26041666666666669</v>
      </c>
      <c r="L40" s="197" t="s">
        <v>23</v>
      </c>
      <c r="M40" s="190"/>
      <c r="N40" s="190"/>
      <c r="O40" s="190"/>
      <c r="P40" s="190"/>
      <c r="Q40" s="190"/>
      <c r="R40" s="190"/>
      <c r="S40" s="190"/>
    </row>
    <row r="41" spans="2:24" x14ac:dyDescent="0.3">
      <c r="C41" s="194" t="s">
        <v>49</v>
      </c>
      <c r="D41" s="195">
        <f>SUMPRODUCT((LEFT(F21:F34, 1)="O") / (COUNTIF(F21:F34, F21:F34 &amp; "") + (F21:F34="")))</f>
        <v>0</v>
      </c>
      <c r="E41" s="448" t="s">
        <v>198</v>
      </c>
      <c r="F41" s="448"/>
      <c r="G41" s="199">
        <f>SUM(J21:J23)</f>
        <v>1.2118055555555556</v>
      </c>
      <c r="H41" s="200">
        <f>+G41*24/($G$40*24)</f>
        <v>4.6533333333333333</v>
      </c>
      <c r="I41" s="199">
        <f>SUM(J29:J34)</f>
        <v>0.49999999999999989</v>
      </c>
      <c r="J41" s="200">
        <f>+I41*24/($I$40*24)</f>
        <v>1.9199999999999995</v>
      </c>
      <c r="K41" s="201">
        <f>AVERAGE(G41+I41)/2</f>
        <v>0.85590277777777768</v>
      </c>
      <c r="L41" s="200">
        <f>+K41*24/($K$40*24)</f>
        <v>3.2866666666666662</v>
      </c>
      <c r="M41" s="190"/>
      <c r="N41" s="190"/>
      <c r="O41" s="190"/>
      <c r="P41" s="190"/>
      <c r="Q41" s="190"/>
      <c r="R41" s="190"/>
      <c r="S41" s="190"/>
    </row>
    <row r="42" spans="2:24" ht="43.25" customHeight="1" thickBot="1" x14ac:dyDescent="0.35">
      <c r="E42" s="448" t="s">
        <v>94</v>
      </c>
      <c r="F42" s="448"/>
      <c r="G42" s="202"/>
      <c r="H42" s="203">
        <f>+AVERAGE(N21:N26)</f>
        <v>0.25</v>
      </c>
      <c r="I42" s="202"/>
      <c r="J42" s="203">
        <f>+AVERAGE(N29:N34)</f>
        <v>1</v>
      </c>
      <c r="K42" s="204"/>
      <c r="L42" s="203">
        <f>+AVERAGE(N21:N34)</f>
        <v>0.4</v>
      </c>
    </row>
    <row r="43" spans="2:24" ht="43.25" customHeight="1" x14ac:dyDescent="0.3">
      <c r="E43" s="205"/>
      <c r="F43" s="205"/>
      <c r="G43" s="206"/>
      <c r="H43" s="206"/>
      <c r="I43" s="137"/>
      <c r="J43" s="137"/>
      <c r="K43" s="137"/>
      <c r="L43" s="137"/>
    </row>
    <row r="44" spans="2:24" ht="43.25" customHeight="1" x14ac:dyDescent="0.3">
      <c r="E44" s="194"/>
      <c r="F44" s="194"/>
      <c r="G44" s="207"/>
      <c r="H44" s="208" t="s">
        <v>24</v>
      </c>
      <c r="I44" s="208" t="s">
        <v>199</v>
      </c>
      <c r="J44" s="208" t="s">
        <v>201</v>
      </c>
      <c r="K44" s="208" t="s">
        <v>404</v>
      </c>
      <c r="L44" s="345" t="s">
        <v>484</v>
      </c>
      <c r="M44" s="345" t="s">
        <v>485</v>
      </c>
      <c r="N44" s="208"/>
    </row>
    <row r="45" spans="2:24" ht="14.5" x14ac:dyDescent="0.35">
      <c r="E45" s="445" t="s">
        <v>174</v>
      </c>
      <c r="F45" s="445"/>
      <c r="G45" s="445"/>
      <c r="H45" s="209">
        <f>+U37</f>
        <v>0</v>
      </c>
      <c r="I45" s="298">
        <f>+H45*$J$45*$K$45</f>
        <v>0</v>
      </c>
      <c r="J45" s="298">
        <v>6.6</v>
      </c>
      <c r="K45" s="246">
        <v>3.42</v>
      </c>
      <c r="L45" s="344">
        <v>56.080975609756102</v>
      </c>
      <c r="M45" s="344">
        <f>+L45*K45*H45</f>
        <v>0</v>
      </c>
    </row>
    <row r="46" spans="2:24" ht="14.4" customHeight="1" x14ac:dyDescent="0.35">
      <c r="E46" s="445" t="s">
        <v>224</v>
      </c>
      <c r="F46" s="445"/>
      <c r="G46" s="445"/>
      <c r="H46" s="209"/>
      <c r="I46" s="298">
        <f>+J46*K46</f>
        <v>0</v>
      </c>
      <c r="J46" s="298">
        <f>1892/1000000</f>
        <v>1.892E-3</v>
      </c>
      <c r="K46" s="246">
        <f>+((15*4.4)*2.72)*0</f>
        <v>0</v>
      </c>
      <c r="L46" s="346">
        <v>1.6919982016368774E-2</v>
      </c>
      <c r="M46" s="344">
        <f>+L46*K46</f>
        <v>0</v>
      </c>
    </row>
    <row r="47" spans="2:24" ht="14.4" customHeight="1" x14ac:dyDescent="0.35">
      <c r="E47" s="445" t="s">
        <v>359</v>
      </c>
      <c r="F47" s="445"/>
      <c r="G47" s="445"/>
      <c r="H47" s="209"/>
      <c r="I47" s="298">
        <f>+J47*K47</f>
        <v>0</v>
      </c>
      <c r="J47" s="298">
        <v>0.340368</v>
      </c>
      <c r="K47" s="246">
        <v>0</v>
      </c>
      <c r="L47" s="346">
        <v>2.2358937544867188</v>
      </c>
      <c r="M47" s="344">
        <f>+L47*K47</f>
        <v>0</v>
      </c>
    </row>
    <row r="48" spans="2:24" ht="14.4" customHeight="1" x14ac:dyDescent="0.35">
      <c r="E48" s="445" t="s">
        <v>376</v>
      </c>
      <c r="F48" s="445"/>
      <c r="G48" s="445"/>
      <c r="H48" s="209">
        <v>0</v>
      </c>
      <c r="I48" s="298">
        <f>+H48*$J$48*$K$48</f>
        <v>0</v>
      </c>
      <c r="J48" s="298">
        <f>23683234/1000000</f>
        <v>23.683233999999999</v>
      </c>
      <c r="K48" s="226">
        <v>0</v>
      </c>
      <c r="L48" s="346">
        <v>254.98967741935485</v>
      </c>
      <c r="M48" s="344">
        <f>+L48*K48*H48</f>
        <v>0</v>
      </c>
    </row>
    <row r="49" spans="2:13" ht="14.4" customHeight="1" x14ac:dyDescent="0.35">
      <c r="E49" s="445" t="s">
        <v>236</v>
      </c>
      <c r="F49" s="445"/>
      <c r="G49" s="445"/>
      <c r="H49" s="209"/>
      <c r="I49" s="298">
        <f>+J49*K49</f>
        <v>0</v>
      </c>
      <c r="J49" s="298">
        <f>25508/1000000</f>
        <v>2.5507999999999999E-2</v>
      </c>
      <c r="K49" s="246">
        <f>7/(0.05)*0</f>
        <v>0</v>
      </c>
      <c r="L49" s="347" t="s">
        <v>486</v>
      </c>
      <c r="M49" s="349"/>
    </row>
    <row r="50" spans="2:13" ht="14.4" customHeight="1" x14ac:dyDescent="0.35">
      <c r="E50" s="445" t="s">
        <v>451</v>
      </c>
      <c r="F50" s="445"/>
      <c r="G50" s="445"/>
      <c r="H50" s="209">
        <v>1</v>
      </c>
      <c r="I50" s="298">
        <f>H50*J50</f>
        <v>7.9892054999999997</v>
      </c>
      <c r="J50" s="298">
        <f>15978411/2000000</f>
        <v>7.9892054999999997</v>
      </c>
      <c r="K50" s="246"/>
      <c r="L50" s="347" t="s">
        <v>486</v>
      </c>
      <c r="M50" s="344"/>
    </row>
    <row r="51" spans="2:13" ht="14.4" customHeight="1" x14ac:dyDescent="0.35">
      <c r="E51" s="445" t="s">
        <v>298</v>
      </c>
      <c r="F51" s="445"/>
      <c r="G51" s="445"/>
      <c r="H51" s="209"/>
      <c r="I51" s="210">
        <f>SUM(I45:I50)</f>
        <v>7.9892054999999997</v>
      </c>
      <c r="J51" s="214"/>
      <c r="K51" s="246"/>
      <c r="L51" s="344"/>
      <c r="M51" s="344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/>
    </row>
    <row r="53" spans="2:13" ht="14.4" customHeight="1" x14ac:dyDescent="0.35">
      <c r="E53" s="445" t="s">
        <v>175</v>
      </c>
      <c r="F53" s="445"/>
      <c r="G53" s="445"/>
      <c r="H53" s="209">
        <f>+U26</f>
        <v>0</v>
      </c>
      <c r="I53" s="210">
        <f>+H53*$J$53*$K$53</f>
        <v>0</v>
      </c>
      <c r="J53" s="211">
        <v>11.8</v>
      </c>
      <c r="K53" s="246">
        <v>4</v>
      </c>
      <c r="L53" s="344">
        <v>118.52055555555555</v>
      </c>
      <c r="M53" s="344">
        <f>+L53*K53*H53</f>
        <v>0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0</v>
      </c>
      <c r="J54" s="296">
        <f>+J46*0</f>
        <v>0</v>
      </c>
      <c r="K54" s="215">
        <f>+((15*2.8)*2.72)*0</f>
        <v>0</v>
      </c>
      <c r="L54" s="346">
        <v>1.6919982016368774E-2</v>
      </c>
      <c r="M54" s="344">
        <f>+L54*K54</f>
        <v>0</v>
      </c>
    </row>
    <row r="55" spans="2:13" ht="14.4" customHeight="1" x14ac:dyDescent="0.35">
      <c r="E55" s="445" t="s">
        <v>297</v>
      </c>
      <c r="F55" s="445"/>
      <c r="G55" s="445"/>
      <c r="H55" s="209"/>
      <c r="I55" s="210">
        <f>SUM(I53:I54)</f>
        <v>0</v>
      </c>
      <c r="J55" s="214"/>
      <c r="K55" s="246"/>
      <c r="L55" s="347"/>
      <c r="M55" s="349"/>
    </row>
    <row r="56" spans="2:13" ht="14.4" customHeight="1" x14ac:dyDescent="0.3">
      <c r="E56" s="227"/>
      <c r="F56" s="227"/>
      <c r="G56" s="227"/>
      <c r="H56" s="209"/>
      <c r="I56" s="210"/>
      <c r="J56" s="214"/>
      <c r="K56" s="246"/>
      <c r="L56" s="213"/>
      <c r="M56" s="352">
        <f>SUM(M45:M55)</f>
        <v>0</v>
      </c>
    </row>
    <row r="57" spans="2:13" ht="14.4" customHeight="1" x14ac:dyDescent="0.3">
      <c r="L57" s="213"/>
    </row>
    <row r="58" spans="2:13" ht="7.75" customHeight="1" thickBot="1" x14ac:dyDescent="0.35"/>
    <row r="59" spans="2:13" ht="30" customHeight="1" thickBot="1" x14ac:dyDescent="0.35">
      <c r="B59" s="191"/>
      <c r="C59" s="446" t="s">
        <v>88</v>
      </c>
      <c r="D59" s="446"/>
      <c r="E59" s="192"/>
      <c r="F59" s="192"/>
      <c r="G59" s="192"/>
      <c r="H59" s="192"/>
      <c r="I59" s="216"/>
      <c r="J59" s="193"/>
    </row>
    <row r="60" spans="2:13" ht="38" customHeight="1" x14ac:dyDescent="0.3">
      <c r="C60" s="217" t="s">
        <v>89</v>
      </c>
      <c r="D60" s="195">
        <f>SUMPRODUCT((LEFT(G21:G34, 5)="Jumbo") / (COUNTIF(G21:G34, G21:G34 &amp; "") + (G21:G34="")))</f>
        <v>0</v>
      </c>
      <c r="E60" s="447" t="s">
        <v>90</v>
      </c>
      <c r="F60" s="447"/>
      <c r="G60" s="218">
        <v>0.20833333333333334</v>
      </c>
      <c r="I60" s="139"/>
      <c r="J60" s="190"/>
    </row>
    <row r="61" spans="2:13" ht="38" customHeight="1" x14ac:dyDescent="0.3">
      <c r="E61" s="447" t="s">
        <v>93</v>
      </c>
      <c r="F61" s="447"/>
      <c r="G61" s="195">
        <f>15000/(60)</f>
        <v>250</v>
      </c>
      <c r="H61" s="219" t="s">
        <v>143</v>
      </c>
      <c r="I61" s="139"/>
      <c r="J61" s="190"/>
    </row>
    <row r="62" spans="2:13" ht="38" customHeight="1" x14ac:dyDescent="0.3">
      <c r="E62" s="448" t="s">
        <v>91</v>
      </c>
      <c r="F62" s="448"/>
      <c r="G62" s="207" t="e">
        <f>+SUM(SUMIF($G$21:$G$34, "Jumbo*", $J$21:$J$34))/SUMPRODUCT((LEFT(G21:G34, 5)="Jumbo") / (COUNTIF(G21:G34, G21:G34 &amp; "") + (G21:G34="")))</f>
        <v>#DIV/0!</v>
      </c>
      <c r="H62" s="220" t="e">
        <f>+G62*24/($G$60*24)</f>
        <v>#DIV/0!</v>
      </c>
      <c r="I62" s="190"/>
      <c r="J62" s="190"/>
    </row>
    <row r="63" spans="2:13" ht="38" customHeight="1" x14ac:dyDescent="0.3">
      <c r="E63" s="448" t="s">
        <v>92</v>
      </c>
      <c r="F63" s="448"/>
      <c r="G63" s="221" t="e">
        <f>+SUM(V21:V34)/D60</f>
        <v>#DIV/0!</v>
      </c>
      <c r="H63" s="220" t="e">
        <f>+G63/G61</f>
        <v>#DIV/0!</v>
      </c>
      <c r="I63" s="190"/>
      <c r="J63" s="190"/>
    </row>
    <row r="64" spans="2:13" ht="38" customHeight="1" x14ac:dyDescent="0.3">
      <c r="G64" s="222" t="s">
        <v>87</v>
      </c>
      <c r="H64" s="139" t="s">
        <v>23</v>
      </c>
    </row>
    <row r="65" spans="2:10" ht="20" customHeight="1" x14ac:dyDescent="0.3">
      <c r="F65" s="208" t="s">
        <v>65</v>
      </c>
      <c r="G65" s="221">
        <f t="shared" ref="G65:G70" si="9" xml:space="preserve"> SUMIF($G$21:$G$34, +F65,$V$21:$V$34)</f>
        <v>0</v>
      </c>
      <c r="H65" s="220">
        <f t="shared" ref="H65:H70" si="10">+G65/$G$61</f>
        <v>0</v>
      </c>
    </row>
    <row r="66" spans="2:10" ht="20" customHeight="1" x14ac:dyDescent="0.3">
      <c r="F66" s="208" t="s">
        <v>66</v>
      </c>
      <c r="G66" s="221">
        <f t="shared" si="9"/>
        <v>0</v>
      </c>
      <c r="H66" s="220">
        <f t="shared" si="10"/>
        <v>0</v>
      </c>
    </row>
    <row r="67" spans="2:10" ht="20" customHeight="1" x14ac:dyDescent="0.3">
      <c r="F67" s="208" t="s">
        <v>67</v>
      </c>
      <c r="G67" s="221">
        <f t="shared" si="9"/>
        <v>0</v>
      </c>
      <c r="H67" s="220">
        <f t="shared" si="10"/>
        <v>0</v>
      </c>
    </row>
    <row r="68" spans="2:10" ht="20" customHeight="1" x14ac:dyDescent="0.3">
      <c r="F68" s="208" t="s">
        <v>68</v>
      </c>
      <c r="G68" s="221">
        <f t="shared" si="9"/>
        <v>0</v>
      </c>
      <c r="H68" s="220">
        <f t="shared" si="10"/>
        <v>0</v>
      </c>
    </row>
    <row r="69" spans="2:10" ht="20" customHeight="1" x14ac:dyDescent="0.3">
      <c r="F69" s="208" t="s">
        <v>69</v>
      </c>
      <c r="G69" s="221">
        <f t="shared" si="9"/>
        <v>0</v>
      </c>
      <c r="H69" s="220">
        <f t="shared" si="10"/>
        <v>0</v>
      </c>
    </row>
    <row r="70" spans="2:10" ht="20" customHeight="1" x14ac:dyDescent="0.3">
      <c r="F70" s="208" t="s">
        <v>70</v>
      </c>
      <c r="G70" s="221">
        <f t="shared" si="9"/>
        <v>0</v>
      </c>
      <c r="H70" s="220">
        <f t="shared" si="10"/>
        <v>0</v>
      </c>
    </row>
    <row r="71" spans="2:10" ht="20" customHeight="1" x14ac:dyDescent="0.3">
      <c r="F71" s="208" t="s">
        <v>146</v>
      </c>
      <c r="G71" s="223">
        <f>+SUM(G65:G70)</f>
        <v>0</v>
      </c>
      <c r="H71" s="220" t="e">
        <f>+G71/($G$61*$D$60)</f>
        <v>#DIV/0!</v>
      </c>
    </row>
    <row r="72" spans="2:10" ht="13.5" thickBot="1" x14ac:dyDescent="0.35"/>
    <row r="73" spans="2:10" ht="30" customHeight="1" thickBot="1" x14ac:dyDescent="0.35">
      <c r="B73" s="191"/>
      <c r="C73" s="446" t="s">
        <v>107</v>
      </c>
      <c r="D73" s="446"/>
      <c r="E73" s="192"/>
      <c r="F73" s="192"/>
      <c r="G73" s="192"/>
      <c r="H73" s="192"/>
      <c r="I73" s="216"/>
      <c r="J73" s="193"/>
    </row>
    <row r="74" spans="2:10" ht="38" customHeight="1" x14ac:dyDescent="0.3">
      <c r="C74" s="208" t="s">
        <v>95</v>
      </c>
      <c r="D74" s="195">
        <f>SUMPRODUCT((LEFT(G21:G34, 5)="Scoop") / (COUNTIF(G21:G34, G21:G34 &amp; "") + (G21:G34="")))</f>
        <v>0</v>
      </c>
      <c r="E74" s="447" t="s">
        <v>90</v>
      </c>
      <c r="F74" s="447"/>
      <c r="G74" s="218">
        <v>0.20833333333333334</v>
      </c>
      <c r="I74" s="139"/>
      <c r="J74" s="190"/>
    </row>
    <row r="75" spans="2:10" ht="38" customHeight="1" x14ac:dyDescent="0.3">
      <c r="C75" s="208" t="s">
        <v>145</v>
      </c>
      <c r="D75" s="195">
        <v>4.9000000000000004</v>
      </c>
      <c r="E75" s="447" t="s">
        <v>97</v>
      </c>
      <c r="F75" s="447"/>
      <c r="G75" s="195">
        <f>15000/(60)</f>
        <v>250</v>
      </c>
      <c r="H75" s="219" t="s">
        <v>23</v>
      </c>
      <c r="I75" s="139"/>
      <c r="J75" s="190"/>
    </row>
    <row r="76" spans="2:10" ht="38" customHeight="1" x14ac:dyDescent="0.3">
      <c r="E76" s="448" t="s">
        <v>98</v>
      </c>
      <c r="F76" s="448"/>
      <c r="G76" s="207" t="e">
        <f>+SUM(SUMIF($G$21:$G$34, "Scoop*", $J$21:$J$34))/SUMPRODUCT((LEFT(G21:G34, 5)="Scoop") / (COUNTIF(G21:G34, G21:G34 &amp; "") + (G21:G34="")))</f>
        <v>#DIV/0!</v>
      </c>
      <c r="H76" s="220" t="e">
        <f>+G76*24/($G$74*24)</f>
        <v>#DIV/0!</v>
      </c>
      <c r="I76" s="190"/>
      <c r="J76" s="190"/>
    </row>
    <row r="77" spans="2:10" ht="38" customHeight="1" x14ac:dyDescent="0.3">
      <c r="E77" s="448" t="s">
        <v>99</v>
      </c>
      <c r="F77" s="448"/>
      <c r="G77" s="221" t="e">
        <f>+SUM(W21:W34)*D75/D74</f>
        <v>#DIV/0!</v>
      </c>
      <c r="H77" s="220" t="e">
        <f>+G77/G75</f>
        <v>#DIV/0!</v>
      </c>
      <c r="I77" s="190"/>
      <c r="J77" s="190"/>
    </row>
    <row r="78" spans="2:10" ht="38" customHeight="1" x14ac:dyDescent="0.3">
      <c r="G78" s="222" t="s">
        <v>96</v>
      </c>
      <c r="H78" s="139" t="s">
        <v>23</v>
      </c>
    </row>
    <row r="79" spans="2:10" ht="20" customHeight="1" x14ac:dyDescent="0.3">
      <c r="F79" s="208" t="s">
        <v>71</v>
      </c>
      <c r="G79" s="221">
        <f t="shared" ref="G79:G84" si="11" xml:space="preserve"> SUMIF($G$21:$G$34, +F79,$W$21:$W$34)*$D$75</f>
        <v>0</v>
      </c>
      <c r="H79" s="220">
        <f>+G79/$G$75</f>
        <v>0</v>
      </c>
    </row>
    <row r="80" spans="2:10" ht="20" customHeight="1" x14ac:dyDescent="0.3">
      <c r="F80" s="208" t="s">
        <v>72</v>
      </c>
      <c r="G80" s="221">
        <f t="shared" si="11"/>
        <v>0</v>
      </c>
      <c r="H80" s="220">
        <f t="shared" ref="H80:H85" si="12">+G80/$G$75</f>
        <v>0</v>
      </c>
    </row>
    <row r="81" spans="2:10" ht="20" customHeight="1" x14ac:dyDescent="0.3">
      <c r="F81" s="208" t="s">
        <v>73</v>
      </c>
      <c r="G81" s="221">
        <f t="shared" si="11"/>
        <v>0</v>
      </c>
      <c r="H81" s="220">
        <f t="shared" si="12"/>
        <v>0</v>
      </c>
    </row>
    <row r="82" spans="2:10" ht="20" customHeight="1" x14ac:dyDescent="0.3">
      <c r="F82" s="208" t="s">
        <v>74</v>
      </c>
      <c r="G82" s="221">
        <f t="shared" si="11"/>
        <v>0</v>
      </c>
      <c r="H82" s="220">
        <f t="shared" si="12"/>
        <v>0</v>
      </c>
    </row>
    <row r="83" spans="2:10" ht="20" customHeight="1" x14ac:dyDescent="0.3">
      <c r="F83" s="208" t="s">
        <v>75</v>
      </c>
      <c r="G83" s="221">
        <f t="shared" si="11"/>
        <v>0</v>
      </c>
      <c r="H83" s="220">
        <f t="shared" si="12"/>
        <v>0</v>
      </c>
    </row>
    <row r="84" spans="2:10" ht="20" customHeight="1" x14ac:dyDescent="0.3">
      <c r="F84" s="208" t="s">
        <v>76</v>
      </c>
      <c r="G84" s="221">
        <f t="shared" si="11"/>
        <v>0</v>
      </c>
      <c r="H84" s="220">
        <f t="shared" si="12"/>
        <v>0</v>
      </c>
    </row>
    <row r="85" spans="2:10" ht="20" customHeight="1" x14ac:dyDescent="0.3">
      <c r="F85" s="208" t="s">
        <v>146</v>
      </c>
      <c r="G85" s="223">
        <f>+SUM(G79:G84)</f>
        <v>0</v>
      </c>
      <c r="H85" s="220">
        <f t="shared" si="12"/>
        <v>0</v>
      </c>
    </row>
    <row r="86" spans="2:10" ht="13.5" thickBot="1" x14ac:dyDescent="0.35"/>
    <row r="87" spans="2:10" ht="30" customHeight="1" thickBot="1" x14ac:dyDescent="0.35">
      <c r="B87" s="191"/>
      <c r="C87" s="446" t="s">
        <v>149</v>
      </c>
      <c r="D87" s="446"/>
      <c r="E87" s="192"/>
      <c r="F87" s="192"/>
      <c r="G87" s="192"/>
      <c r="H87" s="192"/>
      <c r="I87" s="216"/>
      <c r="J87" s="193"/>
    </row>
    <row r="88" spans="2:10" ht="25.25" customHeight="1" x14ac:dyDescent="0.3">
      <c r="C88" s="208" t="s">
        <v>150</v>
      </c>
      <c r="D88" s="195">
        <f>SUMPRODUCT((LEFT(G21:G34, 8)="Roboshot") / (COUNTIF(G21:G34, G21:G34 &amp; "") + (G21:G34="")))</f>
        <v>0</v>
      </c>
      <c r="E88" s="447" t="s">
        <v>90</v>
      </c>
      <c r="F88" s="447"/>
      <c r="G88" s="218">
        <v>0.20833333333333334</v>
      </c>
    </row>
    <row r="89" spans="2:10" x14ac:dyDescent="0.3">
      <c r="C89" s="208"/>
      <c r="D89" s="195"/>
      <c r="E89" s="447" t="s">
        <v>97</v>
      </c>
      <c r="F89" s="447"/>
      <c r="G89" s="195">
        <v>12</v>
      </c>
      <c r="H89" s="219" t="s">
        <v>23</v>
      </c>
    </row>
    <row r="91" spans="2:10" x14ac:dyDescent="0.3">
      <c r="G91" s="222" t="s">
        <v>96</v>
      </c>
      <c r="H91" s="139" t="s">
        <v>23</v>
      </c>
    </row>
    <row r="92" spans="2:10" x14ac:dyDescent="0.3">
      <c r="F92" s="208" t="s">
        <v>77</v>
      </c>
      <c r="G92" s="221">
        <f xml:space="preserve"> SUMIF($G$21:$G$34, +F92,$X$21:$X$34)</f>
        <v>0</v>
      </c>
      <c r="H92" s="220">
        <f>+G92/$G$89</f>
        <v>0</v>
      </c>
    </row>
    <row r="93" spans="2:10" x14ac:dyDescent="0.3">
      <c r="F93" s="208" t="s">
        <v>78</v>
      </c>
      <c r="G93" s="221">
        <f xml:space="preserve"> SUMIF($G$21:$G$34, +F93,$X$21:$X$34)</f>
        <v>0</v>
      </c>
      <c r="H93" s="220">
        <f t="shared" ref="H93:H94" si="13">+G93/$G$89</f>
        <v>0</v>
      </c>
    </row>
    <row r="94" spans="2:10" x14ac:dyDescent="0.3">
      <c r="F94" s="208" t="s">
        <v>79</v>
      </c>
      <c r="G94" s="221">
        <f xml:space="preserve"> SUMIF($G$21:$G$34, +F94,$X$21:$X$34)</f>
        <v>0</v>
      </c>
      <c r="H94" s="220">
        <f t="shared" si="13"/>
        <v>0</v>
      </c>
    </row>
    <row r="95" spans="2:10" x14ac:dyDescent="0.3">
      <c r="F95" s="208" t="s">
        <v>146</v>
      </c>
      <c r="G95" s="223">
        <f>+SUM(G92:G94)</f>
        <v>0</v>
      </c>
      <c r="H95" s="220">
        <f>+G95/$G$89</f>
        <v>0</v>
      </c>
    </row>
  </sheetData>
  <mergeCells count="41">
    <mergeCell ref="E46:G46"/>
    <mergeCell ref="K8:L8"/>
    <mergeCell ref="B1:D4"/>
    <mergeCell ref="E2:R2"/>
    <mergeCell ref="E3:R4"/>
    <mergeCell ref="K6:L6"/>
    <mergeCell ref="K7:L7"/>
    <mergeCell ref="E54:G54"/>
    <mergeCell ref="E55:G55"/>
    <mergeCell ref="E47:G47"/>
    <mergeCell ref="K9:L9"/>
    <mergeCell ref="K10:L10"/>
    <mergeCell ref="K11:L11"/>
    <mergeCell ref="K12:L12"/>
    <mergeCell ref="B14:S14"/>
    <mergeCell ref="C39:D39"/>
    <mergeCell ref="G39:H39"/>
    <mergeCell ref="I39:J39"/>
    <mergeCell ref="K39:L39"/>
    <mergeCell ref="E40:F40"/>
    <mergeCell ref="E41:F41"/>
    <mergeCell ref="E42:F42"/>
    <mergeCell ref="E45:G45"/>
    <mergeCell ref="E48:G48"/>
    <mergeCell ref="E49:G49"/>
    <mergeCell ref="E50:G50"/>
    <mergeCell ref="E51:G51"/>
    <mergeCell ref="E53:G53"/>
    <mergeCell ref="C59:D59"/>
    <mergeCell ref="E60:F60"/>
    <mergeCell ref="E61:F61"/>
    <mergeCell ref="E62:F62"/>
    <mergeCell ref="E88:F88"/>
    <mergeCell ref="E63:F63"/>
    <mergeCell ref="E89:F89"/>
    <mergeCell ref="C73:D73"/>
    <mergeCell ref="E74:F74"/>
    <mergeCell ref="E75:F75"/>
    <mergeCell ref="E76:F76"/>
    <mergeCell ref="E77:F77"/>
    <mergeCell ref="C87:D87"/>
  </mergeCells>
  <conditionalFormatting sqref="H41:H42 J41:J42">
    <cfRule type="cellIs" dxfId="62" priority="13" operator="greaterThan">
      <formula>0.9</formula>
    </cfRule>
    <cfRule type="cellIs" dxfId="61" priority="14" operator="between">
      <formula>0.81</formula>
      <formula>0.89</formula>
    </cfRule>
    <cfRule type="cellIs" dxfId="60" priority="15" operator="lessThan">
      <formula>0.8</formula>
    </cfRule>
  </conditionalFormatting>
  <conditionalFormatting sqref="H62:H63">
    <cfRule type="cellIs" dxfId="59" priority="16" operator="greaterThan">
      <formula>0.9</formula>
    </cfRule>
    <cfRule type="cellIs" dxfId="58" priority="17" operator="between">
      <formula>0.81</formula>
      <formula>0.89</formula>
    </cfRule>
    <cfRule type="cellIs" dxfId="57" priority="18" operator="lessThan">
      <formula>0.8</formula>
    </cfRule>
  </conditionalFormatting>
  <conditionalFormatting sqref="H65:H71">
    <cfRule type="cellIs" dxfId="56" priority="19" operator="greaterThan">
      <formula>0.9</formula>
    </cfRule>
    <cfRule type="cellIs" dxfId="55" priority="20" operator="between">
      <formula>0.81</formula>
      <formula>0.89</formula>
    </cfRule>
    <cfRule type="cellIs" dxfId="54" priority="21" operator="lessThan">
      <formula>0.8</formula>
    </cfRule>
  </conditionalFormatting>
  <conditionalFormatting sqref="H76:H77">
    <cfRule type="cellIs" dxfId="53" priority="7" operator="greaterThan">
      <formula>0.9</formula>
    </cfRule>
    <cfRule type="cellIs" dxfId="52" priority="8" operator="between">
      <formula>0.81</formula>
      <formula>0.89</formula>
    </cfRule>
    <cfRule type="cellIs" dxfId="51" priority="9" operator="lessThan">
      <formula>0.8</formula>
    </cfRule>
  </conditionalFormatting>
  <conditionalFormatting sqref="H79:H85">
    <cfRule type="cellIs" dxfId="50" priority="10" operator="greaterThan">
      <formula>0.9</formula>
    </cfRule>
    <cfRule type="cellIs" dxfId="49" priority="11" operator="between">
      <formula>0.81</formula>
      <formula>0.89</formula>
    </cfRule>
    <cfRule type="cellIs" dxfId="48" priority="12" operator="lessThan">
      <formula>0.8</formula>
    </cfRule>
  </conditionalFormatting>
  <conditionalFormatting sqref="H92:H95">
    <cfRule type="cellIs" dxfId="47" priority="4" operator="greaterThan">
      <formula>0.9</formula>
    </cfRule>
    <cfRule type="cellIs" dxfId="46" priority="5" operator="between">
      <formula>0.81</formula>
      <formula>0.89</formula>
    </cfRule>
    <cfRule type="cellIs" dxfId="45" priority="6" operator="lessThan">
      <formula>0.8</formula>
    </cfRule>
  </conditionalFormatting>
  <conditionalFormatting sqref="L41:L42">
    <cfRule type="cellIs" dxfId="44" priority="1" operator="greaterThan">
      <formula>0.9</formula>
    </cfRule>
    <cfRule type="cellIs" dxfId="43" priority="2" operator="between">
      <formula>0.81</formula>
      <formula>0.89</formula>
    </cfRule>
    <cfRule type="cellIs" dxfId="42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BA19B49-557B-4DC8-A6A6-AA6438546CBA}">
          <x14:formula1>
            <xm:f>Datos!$H$3:$H$34</xm:f>
          </x14:formula1>
          <xm:sqref>D29:D36 D21:D25</xm:sqref>
        </x14:dataValidation>
        <x14:dataValidation type="list" allowBlank="1" showInputMessage="1" showErrorMessage="1" xr:uid="{1EF17305-7093-4DFB-8091-036B1545FF4B}">
          <x14:formula1>
            <xm:f>Datos!$H$3:$H$26</xm:f>
          </x14:formula1>
          <xm:sqref>D26 D37</xm:sqref>
        </x14:dataValidation>
        <x14:dataValidation type="list" allowBlank="1" showInputMessage="1" showErrorMessage="1" xr:uid="{9B85C305-C686-48FB-9EE8-9491BDD56DF5}">
          <x14:formula1>
            <xm:f>Datos!$F$3:$F$41</xm:f>
          </x14:formula1>
          <xm:sqref>G29:G37 G21:G26</xm:sqref>
        </x14:dataValidation>
        <x14:dataValidation type="list" allowBlank="1" showInputMessage="1" showErrorMessage="1" xr:uid="{AF763138-B96D-430D-9CE4-C0418B65274C}">
          <x14:formula1>
            <xm:f>Datos!$W$3:$W$12</xm:f>
          </x14:formula1>
          <xm:sqref>L29:L37 L21:L26</xm:sqref>
        </x14:dataValidation>
        <x14:dataValidation type="list" allowBlank="1" showInputMessage="1" showErrorMessage="1" xr:uid="{E45D3161-D79B-4617-8BCB-B642A64446E6}">
          <x14:formula1>
            <xm:f>Datos!$D$3:$D$27</xm:f>
          </x14:formula1>
          <xm:sqref>F29:F37 F21:F26</xm:sqref>
        </x14:dataValidation>
        <x14:dataValidation type="list" allowBlank="1" showInputMessage="1" showErrorMessage="1" xr:uid="{2F2D4980-EB36-44C3-8D1F-BC26B4E75759}">
          <x14:formula1>
            <xm:f>Datos!$B$3:$B$8</xm:f>
          </x14:formula1>
          <xm:sqref>E29:E37 E21:E26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AA7F-7C2A-4F20-A410-02FC1D329ADF}">
  <sheetPr>
    <tabColor theme="6" tint="0.79998168889431442"/>
    <pageSetUpPr fitToPage="1"/>
  </sheetPr>
  <dimension ref="B1:X99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J29" sqref="J29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1.08984375" style="134" bestFit="1" customWidth="1"/>
    <col min="13" max="13" width="17.6328125" style="134" bestFit="1" customWidth="1"/>
    <col min="14" max="14" width="14" style="134" bestFit="1" customWidth="1"/>
    <col min="15" max="15" width="44.54296875" style="134" bestFit="1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+G44</f>
        <v>0.375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+H45</f>
        <v>0.83333333333333337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+G75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+G89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+G99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 t="s">
        <v>172</v>
      </c>
      <c r="E21" s="172" t="s">
        <v>6</v>
      </c>
      <c r="F21" s="172" t="s">
        <v>165</v>
      </c>
      <c r="G21" s="172"/>
      <c r="H21" s="174">
        <v>0.375</v>
      </c>
      <c r="I21" s="174">
        <v>0.4375</v>
      </c>
      <c r="J21" s="175">
        <f t="shared" ref="J21:J25" si="0">I21-H21</f>
        <v>6.25E-2</v>
      </c>
      <c r="K21" s="178"/>
      <c r="L21" s="177"/>
      <c r="M21" s="178"/>
      <c r="N21" s="179">
        <v>1</v>
      </c>
      <c r="O21" s="186" t="s">
        <v>557</v>
      </c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52.75" customHeight="1" x14ac:dyDescent="0.3">
      <c r="B22" s="172">
        <v>3500</v>
      </c>
      <c r="C22" s="173" t="str">
        <f>+Datos!$R$2</f>
        <v>Ciclo Minero 10,0 x 7,2 m
Galería Inyección Principal</v>
      </c>
      <c r="D22" s="173" t="s">
        <v>172</v>
      </c>
      <c r="E22" s="172" t="s">
        <v>6</v>
      </c>
      <c r="F22" s="172" t="s">
        <v>165</v>
      </c>
      <c r="G22" s="172"/>
      <c r="H22" s="174">
        <v>0.4375</v>
      </c>
      <c r="I22" s="174">
        <v>0.45833333333333331</v>
      </c>
      <c r="J22" s="175">
        <f t="shared" si="0"/>
        <v>2.0833333333333315E-2</v>
      </c>
      <c r="K22" s="178"/>
      <c r="L22" s="177"/>
      <c r="M22" s="178"/>
      <c r="N22" s="179">
        <v>1</v>
      </c>
      <c r="O22" s="186" t="s">
        <v>558</v>
      </c>
      <c r="P22" s="181"/>
      <c r="Q22" s="174"/>
      <c r="R22" s="172"/>
      <c r="S22" s="175">
        <f t="shared" ref="S22:S29" si="1">+MOD(R22-Q22,1)</f>
        <v>0</v>
      </c>
      <c r="U22" s="182">
        <f>+IFERROR(VLOOKUP(D22,Datos!$R$3:$T$19,3,FALSE), "0")*N22</f>
        <v>0</v>
      </c>
      <c r="V22" s="183" t="str">
        <f t="shared" ref="V22:V29" si="2">IF(OR(D22="Perforación de Fortificación", D22="Perforación de Avance", D22="Perforación Desquinche"), K22*M22, "")</f>
        <v/>
      </c>
      <c r="W22" s="183" t="str">
        <f t="shared" ref="W22:W29" si="3">IF(D22="Extracción de Marina Disparo",K22,"")</f>
        <v/>
      </c>
      <c r="X22" s="183" t="str">
        <f t="shared" ref="X22:X29" si="4">IF(OR(D22="Shotcrete", D22="Pre Shotcrete"), K22, "")</f>
        <v/>
      </c>
    </row>
    <row r="23" spans="2:24" ht="42.65" customHeight="1" x14ac:dyDescent="0.3">
      <c r="B23" s="172">
        <v>3500</v>
      </c>
      <c r="C23" s="173" t="str">
        <f>+Datos!$R$2</f>
        <v>Ciclo Minero 10,0 x 7,2 m
Galería Inyección Principal</v>
      </c>
      <c r="D23" s="173" t="s">
        <v>172</v>
      </c>
      <c r="E23" s="172" t="s">
        <v>6</v>
      </c>
      <c r="F23" s="172" t="s">
        <v>165</v>
      </c>
      <c r="G23" s="172"/>
      <c r="H23" s="174">
        <v>0.45833333333333331</v>
      </c>
      <c r="I23" s="174">
        <v>0.5</v>
      </c>
      <c r="J23" s="175">
        <f t="shared" si="0"/>
        <v>4.1666666666666685E-2</v>
      </c>
      <c r="K23" s="178"/>
      <c r="L23" s="177"/>
      <c r="M23" s="178"/>
      <c r="N23" s="179">
        <v>0</v>
      </c>
      <c r="O23" s="186" t="s">
        <v>559</v>
      </c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55.75" customHeight="1" x14ac:dyDescent="0.3">
      <c r="B24" s="172">
        <v>3500</v>
      </c>
      <c r="C24" s="173" t="str">
        <f>+Datos!$R$2</f>
        <v>Ciclo Minero 10,0 x 7,2 m
Galería Inyección Principal</v>
      </c>
      <c r="D24" s="173" t="s">
        <v>171</v>
      </c>
      <c r="E24" s="172" t="s">
        <v>6</v>
      </c>
      <c r="F24" s="172" t="s">
        <v>165</v>
      </c>
      <c r="G24" s="172"/>
      <c r="H24" s="174">
        <v>0.54166666666666663</v>
      </c>
      <c r="I24" s="174">
        <v>0.58333333333333337</v>
      </c>
      <c r="J24" s="175">
        <f t="shared" si="0"/>
        <v>4.1666666666666741E-2</v>
      </c>
      <c r="K24" s="178"/>
      <c r="L24" s="177"/>
      <c r="M24" s="178"/>
      <c r="N24" s="179">
        <v>1</v>
      </c>
      <c r="O24" s="186" t="s">
        <v>560</v>
      </c>
      <c r="P24" s="181"/>
      <c r="Q24" s="174"/>
      <c r="R24" s="174"/>
      <c r="S24" s="175"/>
      <c r="U24" s="182">
        <f>+IFERROR(VLOOKUP(D24,Datos!$R$3:$T$19,3,FALSE), "0")*N24</f>
        <v>0</v>
      </c>
      <c r="V24" s="183"/>
      <c r="W24" s="183"/>
      <c r="X24" s="183"/>
    </row>
    <row r="25" spans="2:24" ht="55.75" customHeight="1" x14ac:dyDescent="0.3">
      <c r="B25" s="172">
        <v>3500</v>
      </c>
      <c r="C25" s="173" t="str">
        <f>+Datos!$R$2</f>
        <v>Ciclo Minero 10,0 x 7,2 m
Galería Inyección Principal</v>
      </c>
      <c r="D25" s="173" t="s">
        <v>171</v>
      </c>
      <c r="E25" s="172" t="s">
        <v>6</v>
      </c>
      <c r="F25" s="172" t="s">
        <v>165</v>
      </c>
      <c r="G25" s="172"/>
      <c r="H25" s="174">
        <v>0.58333333333333337</v>
      </c>
      <c r="I25" s="174">
        <v>0.625</v>
      </c>
      <c r="J25" s="175">
        <f t="shared" si="0"/>
        <v>4.166666666666663E-2</v>
      </c>
      <c r="K25" s="178"/>
      <c r="L25" s="177"/>
      <c r="M25" s="178"/>
      <c r="N25" s="179">
        <v>1</v>
      </c>
      <c r="O25" s="186" t="s">
        <v>561</v>
      </c>
      <c r="P25" s="181"/>
      <c r="Q25" s="174"/>
      <c r="R25" s="174"/>
      <c r="S25" s="175"/>
      <c r="U25" s="182">
        <f>+IFERROR(VLOOKUP(D25,Datos!$R$3:$T$19,3,FALSE), "0")*N25</f>
        <v>0</v>
      </c>
      <c r="V25" s="183"/>
      <c r="W25" s="183"/>
      <c r="X25" s="183"/>
    </row>
    <row r="26" spans="2:24" ht="55.75" customHeight="1" x14ac:dyDescent="0.3">
      <c r="B26" s="172">
        <v>3500</v>
      </c>
      <c r="C26" s="173" t="str">
        <f>+Datos!$R$2</f>
        <v>Ciclo Minero 10,0 x 7,2 m
Galería Inyección Principal</v>
      </c>
      <c r="D26" s="173" t="s">
        <v>172</v>
      </c>
      <c r="E26" s="172" t="s">
        <v>6</v>
      </c>
      <c r="F26" s="172" t="s">
        <v>165</v>
      </c>
      <c r="G26" s="172"/>
      <c r="H26" s="174">
        <v>0.625</v>
      </c>
      <c r="I26" s="174">
        <v>0.79166666666666663</v>
      </c>
      <c r="J26" s="175">
        <f t="shared" ref="J26" si="5">I26-H26</f>
        <v>0.16666666666666663</v>
      </c>
      <c r="K26" s="178"/>
      <c r="L26" s="177"/>
      <c r="M26" s="178"/>
      <c r="N26" s="179">
        <v>1</v>
      </c>
      <c r="O26" s="186" t="s">
        <v>562</v>
      </c>
      <c r="P26" s="181"/>
      <c r="Q26" s="174"/>
      <c r="R26" s="174"/>
      <c r="S26" s="175"/>
      <c r="U26" s="182">
        <f>+IFERROR(VLOOKUP(D26,Datos!$R$3:$T$19,3,FALSE), "0")*N26</f>
        <v>0</v>
      </c>
      <c r="V26" s="183"/>
      <c r="W26" s="183"/>
      <c r="X26" s="183"/>
    </row>
    <row r="27" spans="2:24" s="392" customFormat="1" ht="38" customHeight="1" x14ac:dyDescent="0.3">
      <c r="B27" s="384"/>
      <c r="C27" s="385"/>
      <c r="D27" s="385"/>
      <c r="E27" s="384"/>
      <c r="F27" s="384"/>
      <c r="G27" s="384"/>
      <c r="H27" s="386"/>
      <c r="I27" s="386"/>
      <c r="J27" s="387"/>
      <c r="K27" s="388"/>
      <c r="L27" s="389"/>
      <c r="M27" s="388"/>
      <c r="N27" s="179"/>
      <c r="O27" s="390"/>
      <c r="P27" s="391"/>
      <c r="Q27" s="386"/>
      <c r="R27" s="386"/>
      <c r="S27" s="387"/>
      <c r="U27" s="393">
        <f>+IFERROR(VLOOKUP(D27,Datos!$R$3:$T$19,3,FALSE), "0")*N27</f>
        <v>0</v>
      </c>
      <c r="V27" s="394"/>
      <c r="W27" s="394"/>
      <c r="X27" s="394"/>
    </row>
    <row r="28" spans="2:24" ht="37.75" customHeight="1" x14ac:dyDescent="0.3">
      <c r="B28" s="172"/>
      <c r="C28" s="173"/>
      <c r="D28" s="173"/>
      <c r="E28" s="172"/>
      <c r="F28" s="172"/>
      <c r="G28" s="172"/>
      <c r="H28" s="174"/>
      <c r="I28" s="174"/>
      <c r="J28" s="175"/>
      <c r="K28" s="178"/>
      <c r="L28" s="177"/>
      <c r="M28" s="178"/>
      <c r="N28" s="179"/>
      <c r="O28" s="186"/>
      <c r="P28" s="181"/>
      <c r="Q28" s="174"/>
      <c r="R28" s="174"/>
      <c r="S28" s="175"/>
      <c r="U28" s="182"/>
      <c r="V28" s="183" t="str">
        <f t="shared" si="2"/>
        <v/>
      </c>
      <c r="W28" s="183" t="str">
        <f t="shared" si="3"/>
        <v/>
      </c>
      <c r="X28" s="183" t="str">
        <f t="shared" si="4"/>
        <v/>
      </c>
    </row>
    <row r="29" spans="2:24" ht="38" customHeight="1" x14ac:dyDescent="0.3">
      <c r="B29" s="172"/>
      <c r="C29" s="173"/>
      <c r="D29" s="173"/>
      <c r="E29" s="172"/>
      <c r="F29" s="172"/>
      <c r="G29" s="172"/>
      <c r="H29" s="174"/>
      <c r="I29" s="174" t="s">
        <v>329</v>
      </c>
      <c r="J29" s="175">
        <f>MOD(I26-H21, 1)</f>
        <v>0.41666666666666663</v>
      </c>
      <c r="K29" s="178"/>
      <c r="L29" s="177"/>
      <c r="M29" s="178"/>
      <c r="N29" s="179"/>
      <c r="O29" s="390" t="s">
        <v>547</v>
      </c>
      <c r="P29" s="172"/>
      <c r="Q29" s="172"/>
      <c r="R29" s="172"/>
      <c r="S29" s="175">
        <f t="shared" si="1"/>
        <v>0</v>
      </c>
      <c r="U29" s="182">
        <f>SUM(U21:U28)</f>
        <v>0</v>
      </c>
      <c r="V29" s="183" t="str">
        <f t="shared" si="2"/>
        <v/>
      </c>
      <c r="W29" s="183" t="str">
        <f t="shared" si="3"/>
        <v/>
      </c>
      <c r="X29" s="183" t="str">
        <f t="shared" si="4"/>
        <v/>
      </c>
    </row>
    <row r="30" spans="2:24" x14ac:dyDescent="0.3">
      <c r="B30" s="185" t="s">
        <v>158</v>
      </c>
      <c r="C30" s="63" t="s">
        <v>194</v>
      </c>
      <c r="D30" s="63"/>
      <c r="E30" s="63"/>
      <c r="F30" s="63"/>
      <c r="G30" s="63"/>
      <c r="H30" s="63"/>
      <c r="I30" s="63"/>
      <c r="J30" s="64"/>
      <c r="K30" s="64"/>
      <c r="L30" s="171"/>
      <c r="M30" s="63"/>
      <c r="N30" s="64"/>
      <c r="O30" s="64"/>
      <c r="P30" s="63"/>
      <c r="Q30" s="63"/>
      <c r="R30" s="63"/>
      <c r="S30" s="64"/>
      <c r="U30" s="63"/>
      <c r="V30" s="64"/>
      <c r="W30" s="64"/>
      <c r="X30" s="64"/>
    </row>
    <row r="31" spans="2:24" ht="52" x14ac:dyDescent="0.3">
      <c r="B31" s="63" t="s">
        <v>3</v>
      </c>
      <c r="C31" s="63" t="s">
        <v>2</v>
      </c>
      <c r="D31" s="63" t="s">
        <v>5</v>
      </c>
      <c r="E31" s="63" t="s">
        <v>22</v>
      </c>
      <c r="F31" s="63" t="s">
        <v>139</v>
      </c>
      <c r="G31" s="63" t="s">
        <v>29</v>
      </c>
      <c r="H31" s="63" t="s">
        <v>121</v>
      </c>
      <c r="I31" s="63" t="s">
        <v>4</v>
      </c>
      <c r="J31" s="64" t="s">
        <v>122</v>
      </c>
      <c r="K31" s="64" t="s">
        <v>131</v>
      </c>
      <c r="L31" s="171" t="s">
        <v>123</v>
      </c>
      <c r="M31" s="63" t="s">
        <v>134</v>
      </c>
      <c r="N31" s="64" t="s">
        <v>24</v>
      </c>
      <c r="O31" s="64" t="s">
        <v>130</v>
      </c>
      <c r="P31" s="63" t="s">
        <v>132</v>
      </c>
      <c r="Q31" s="63" t="s">
        <v>121</v>
      </c>
      <c r="R31" s="63" t="s">
        <v>4</v>
      </c>
      <c r="S31" s="64" t="s">
        <v>137</v>
      </c>
      <c r="U31" s="63" t="s">
        <v>109</v>
      </c>
      <c r="V31" s="64" t="s">
        <v>87</v>
      </c>
      <c r="W31" s="64" t="s">
        <v>128</v>
      </c>
      <c r="X31" s="64" t="s">
        <v>128</v>
      </c>
    </row>
    <row r="32" spans="2:24" ht="38" customHeight="1" x14ac:dyDescent="0.3">
      <c r="B32" s="172">
        <v>3700</v>
      </c>
      <c r="C32" s="173" t="str">
        <f>+Datos!$R$23</f>
        <v>Ciclo Minero 5,2 x 5,6 m
Galería Acceso Portal de Servicio</v>
      </c>
      <c r="D32" s="173" t="s">
        <v>110</v>
      </c>
      <c r="E32" s="172" t="s">
        <v>6</v>
      </c>
      <c r="F32" s="172" t="s">
        <v>164</v>
      </c>
      <c r="G32" s="172"/>
      <c r="H32" s="174">
        <v>0.33333333333333331</v>
      </c>
      <c r="I32" s="174">
        <v>0.83333333333333337</v>
      </c>
      <c r="J32" s="175">
        <f>I32-H32</f>
        <v>0.5</v>
      </c>
      <c r="K32" s="178"/>
      <c r="L32" s="177"/>
      <c r="M32" s="178"/>
      <c r="N32" s="179">
        <v>1</v>
      </c>
      <c r="O32" s="186" t="s">
        <v>428</v>
      </c>
      <c r="P32" s="225"/>
      <c r="Q32" s="174"/>
      <c r="R32" s="174"/>
      <c r="S32" s="175"/>
      <c r="U32" s="187">
        <f>+IFERROR(VLOOKUP(D32,Datos!$R$24:$T$40,3,FALSE), "0")*N32</f>
        <v>0</v>
      </c>
      <c r="V32" s="183" t="str">
        <f t="shared" ref="V32:V40" si="6">IF(OR(D32="Perforación de Fortificación", D32="Perforación de Avance", D32="Perforación Desquinche"), K32*M32, "")</f>
        <v/>
      </c>
      <c r="W32" s="183" t="str">
        <f>IF(D32="Extracción de Marina Disparo",K32,"")</f>
        <v/>
      </c>
      <c r="X32" s="183" t="str">
        <f t="shared" ref="X32:X40" si="7">IF(OR(D32="Shotcrete", D32="Pre Shotcrete"), K32, "")</f>
        <v/>
      </c>
    </row>
    <row r="33" spans="2:24" ht="38" customHeight="1" x14ac:dyDescent="0.3">
      <c r="B33" s="172">
        <v>3700</v>
      </c>
      <c r="C33" s="173" t="str">
        <f>+Datos!$R$23</f>
        <v>Ciclo Minero 5,2 x 5,6 m
Galería Acceso Portal de Servicio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225"/>
      <c r="P33" s="173"/>
      <c r="Q33" s="174"/>
      <c r="R33" s="174"/>
      <c r="S33" s="175"/>
      <c r="U33" s="187">
        <f>+IFERROR(VLOOKUP(D33,Datos!$R$24:$T$40,3,FALSE), "0")*N33</f>
        <v>0</v>
      </c>
      <c r="V33" s="183" t="str">
        <f t="shared" si="6"/>
        <v/>
      </c>
      <c r="W33" s="183" t="str">
        <f>IF(D33="Extracción de Marina Disparo",K33,"")</f>
        <v/>
      </c>
      <c r="X33" s="183" t="str">
        <f t="shared" si="7"/>
        <v/>
      </c>
    </row>
    <row r="34" spans="2:24" ht="53.4" customHeight="1" x14ac:dyDescent="0.3">
      <c r="B34" s="172">
        <v>3700</v>
      </c>
      <c r="C34" s="173" t="str">
        <f>+C32</f>
        <v>Ciclo Minero 5,2 x 5,6 m
Galería Acceso Portal de Servicio</v>
      </c>
      <c r="D34" s="173"/>
      <c r="E34" s="172"/>
      <c r="F34" s="172"/>
      <c r="G34" s="172"/>
      <c r="H34" s="174"/>
      <c r="I34" s="174"/>
      <c r="J34" s="175"/>
      <c r="K34" s="178"/>
      <c r="L34" s="177"/>
      <c r="M34" s="178"/>
      <c r="N34" s="179"/>
      <c r="O34" s="225"/>
      <c r="P34" s="181"/>
      <c r="Q34" s="174"/>
      <c r="R34" s="174"/>
      <c r="S34" s="175"/>
      <c r="U34" s="187">
        <f>+IFERROR(VLOOKUP(D34,Datos!$R$24:$T$40,3,FALSE), "0")*N34</f>
        <v>0</v>
      </c>
      <c r="V34" s="183" t="str">
        <f t="shared" si="6"/>
        <v/>
      </c>
      <c r="W34" s="183" t="str">
        <f t="shared" ref="W34:W40" si="8">IF(D34="Extracción de Marina Disparo",K34,"")</f>
        <v/>
      </c>
      <c r="X34" s="183" t="str">
        <f t="shared" si="7"/>
        <v/>
      </c>
    </row>
    <row r="35" spans="2:24" ht="38" customHeight="1" x14ac:dyDescent="0.3">
      <c r="B35" s="172">
        <v>3700</v>
      </c>
      <c r="C35" s="173" t="s">
        <v>397</v>
      </c>
      <c r="D35" s="173"/>
      <c r="E35" s="172"/>
      <c r="F35" s="172"/>
      <c r="G35" s="172"/>
      <c r="H35" s="174"/>
      <c r="I35" s="174"/>
      <c r="J35" s="175"/>
      <c r="K35" s="178"/>
      <c r="L35" s="177"/>
      <c r="M35" s="178"/>
      <c r="N35" s="179"/>
      <c r="O35" s="186"/>
      <c r="P35" s="172"/>
      <c r="Q35" s="172"/>
      <c r="R35" s="172"/>
      <c r="S35" s="175"/>
      <c r="U35" s="187">
        <f>+IFERROR(VLOOKUP(D35,Datos!$R$24:$T$40,3,FALSE), "0")*N35</f>
        <v>0</v>
      </c>
      <c r="V35" s="183" t="str">
        <f t="shared" si="6"/>
        <v/>
      </c>
      <c r="W35" s="183" t="str">
        <f t="shared" si="8"/>
        <v/>
      </c>
      <c r="X35" s="183"/>
    </row>
    <row r="36" spans="2:24" ht="38" customHeight="1" x14ac:dyDescent="0.3">
      <c r="B36" s="172">
        <v>3700</v>
      </c>
      <c r="C36" s="173" t="str">
        <f>+C35</f>
        <v>Fróntón Bodega</v>
      </c>
      <c r="D36" s="173"/>
      <c r="E36" s="172"/>
      <c r="F36" s="172"/>
      <c r="G36" s="172"/>
      <c r="H36" s="174"/>
      <c r="I36" s="174"/>
      <c r="J36" s="175"/>
      <c r="K36" s="178"/>
      <c r="L36" s="177"/>
      <c r="M36" s="178"/>
      <c r="N36" s="179"/>
      <c r="O36" s="186"/>
      <c r="P36" s="181"/>
      <c r="Q36" s="174"/>
      <c r="R36" s="174"/>
      <c r="S36" s="175"/>
      <c r="U36" s="187">
        <f>+IFERROR(VLOOKUP(D36,Datos!$R$24:$T$40,3,FALSE), "0")*N36</f>
        <v>0</v>
      </c>
      <c r="V36" s="183" t="str">
        <f t="shared" si="6"/>
        <v/>
      </c>
      <c r="W36" s="183" t="str">
        <f t="shared" si="8"/>
        <v/>
      </c>
      <c r="X36" s="183" t="str">
        <f t="shared" si="7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/>
      <c r="J37" s="175">
        <f>MOD(I37-H37, 1)</f>
        <v>0</v>
      </c>
      <c r="K37" s="178"/>
      <c r="L37" s="177"/>
      <c r="M37" s="178"/>
      <c r="N37" s="179"/>
      <c r="O37" s="225"/>
      <c r="P37" s="172"/>
      <c r="Q37" s="172"/>
      <c r="R37" s="172"/>
      <c r="S37" s="175">
        <f t="shared" ref="S37:S40" si="9">+MOD(R37-Q37,1)</f>
        <v>0</v>
      </c>
      <c r="U37" s="187">
        <f>+IFERROR(VLOOKUP(D37,Datos!$R$24:$T$40,3,FALSE), "0")*N37</f>
        <v>0</v>
      </c>
      <c r="V37" s="183" t="str">
        <f t="shared" si="6"/>
        <v/>
      </c>
      <c r="W37" s="183" t="str">
        <f t="shared" si="8"/>
        <v/>
      </c>
      <c r="X37" s="183" t="str">
        <f t="shared" si="7"/>
        <v/>
      </c>
    </row>
    <row r="38" spans="2:24" ht="38" customHeight="1" x14ac:dyDescent="0.3">
      <c r="B38" s="172"/>
      <c r="C38" s="173"/>
      <c r="D38" s="173"/>
      <c r="E38" s="172"/>
      <c r="F38" s="172"/>
      <c r="G38" s="172"/>
      <c r="H38" s="174"/>
      <c r="I38" s="174"/>
      <c r="J38" s="175">
        <f>MOD(I38-H38, 1)</f>
        <v>0</v>
      </c>
      <c r="K38" s="178"/>
      <c r="L38" s="177"/>
      <c r="M38" s="178"/>
      <c r="N38" s="179"/>
      <c r="O38" s="186"/>
      <c r="P38" s="172"/>
      <c r="Q38" s="172"/>
      <c r="R38" s="172"/>
      <c r="S38" s="175">
        <f t="shared" si="9"/>
        <v>0</v>
      </c>
      <c r="U38" s="187"/>
      <c r="V38" s="183" t="str">
        <f t="shared" si="6"/>
        <v/>
      </c>
      <c r="W38" s="183" t="str">
        <f t="shared" si="8"/>
        <v/>
      </c>
      <c r="X38" s="183" t="str">
        <f t="shared" si="7"/>
        <v/>
      </c>
    </row>
    <row r="39" spans="2:24" ht="38" customHeight="1" x14ac:dyDescent="0.3">
      <c r="B39" s="172"/>
      <c r="C39" s="173"/>
      <c r="D39" s="173"/>
      <c r="E39" s="172"/>
      <c r="F39" s="172"/>
      <c r="G39" s="172"/>
      <c r="H39" s="174"/>
      <c r="I39" s="174"/>
      <c r="J39" s="175">
        <f>MOD(I39-H39, 1)</f>
        <v>0</v>
      </c>
      <c r="K39" s="178"/>
      <c r="L39" s="177"/>
      <c r="M39" s="178"/>
      <c r="N39" s="179"/>
      <c r="O39" s="186"/>
      <c r="P39" s="172"/>
      <c r="Q39" s="172"/>
      <c r="R39" s="172"/>
      <c r="S39" s="175">
        <f t="shared" si="9"/>
        <v>0</v>
      </c>
      <c r="U39" s="187"/>
      <c r="V39" s="183" t="str">
        <f t="shared" si="6"/>
        <v/>
      </c>
      <c r="W39" s="183" t="str">
        <f t="shared" si="8"/>
        <v/>
      </c>
      <c r="X39" s="183" t="str">
        <f t="shared" si="7"/>
        <v/>
      </c>
    </row>
    <row r="40" spans="2:24" ht="38" customHeight="1" x14ac:dyDescent="0.3">
      <c r="B40" s="172"/>
      <c r="C40" s="173"/>
      <c r="D40" s="173"/>
      <c r="E40" s="172"/>
      <c r="F40" s="172"/>
      <c r="G40" s="172"/>
      <c r="H40" s="174"/>
      <c r="I40" s="174" t="s">
        <v>329</v>
      </c>
      <c r="J40" s="175">
        <v>0</v>
      </c>
      <c r="K40" s="178"/>
      <c r="L40" s="177"/>
      <c r="M40" s="178"/>
      <c r="N40" s="179"/>
      <c r="O40" s="390" t="s">
        <v>543</v>
      </c>
      <c r="P40" s="172"/>
      <c r="Q40" s="172"/>
      <c r="R40" s="172"/>
      <c r="S40" s="175">
        <f t="shared" si="9"/>
        <v>0</v>
      </c>
      <c r="U40" s="182">
        <f>SUM(U32:U39)</f>
        <v>0</v>
      </c>
      <c r="V40" s="183" t="str">
        <f t="shared" si="6"/>
        <v/>
      </c>
      <c r="W40" s="183" t="str">
        <f t="shared" si="8"/>
        <v/>
      </c>
      <c r="X40" s="183" t="str">
        <f t="shared" si="7"/>
        <v/>
      </c>
    </row>
    <row r="41" spans="2:24" ht="15.65" customHeight="1" thickBot="1" x14ac:dyDescent="0.35">
      <c r="B41" s="190"/>
      <c r="C41" s="190"/>
      <c r="D41" s="190"/>
      <c r="E41" s="190"/>
      <c r="F41" s="190"/>
      <c r="G41" s="190"/>
      <c r="H41" s="190"/>
      <c r="J41" s="190"/>
      <c r="K41" s="190"/>
      <c r="L41" s="190"/>
      <c r="M41" s="190"/>
      <c r="N41" s="190"/>
      <c r="O41" s="190"/>
      <c r="P41" s="190"/>
      <c r="Q41" s="190"/>
      <c r="R41" s="190"/>
      <c r="S41" s="190"/>
    </row>
    <row r="42" spans="2:24" ht="30" customHeight="1" thickBot="1" x14ac:dyDescent="0.35">
      <c r="B42" s="191"/>
      <c r="C42" s="446" t="s">
        <v>64</v>
      </c>
      <c r="D42" s="446"/>
      <c r="E42" s="192"/>
      <c r="F42" s="192"/>
      <c r="G42" s="431">
        <v>3500</v>
      </c>
      <c r="H42" s="432"/>
      <c r="I42" s="431">
        <v>3700</v>
      </c>
      <c r="J42" s="432"/>
      <c r="K42" s="433" t="s">
        <v>146</v>
      </c>
      <c r="L42" s="434"/>
      <c r="M42" s="190"/>
      <c r="N42" s="190"/>
      <c r="O42" s="190"/>
      <c r="P42" s="190"/>
      <c r="Q42" s="190"/>
      <c r="R42" s="190"/>
      <c r="S42" s="190"/>
    </row>
    <row r="43" spans="2:24" ht="30" customHeight="1" x14ac:dyDescent="0.3">
      <c r="C43" s="194" t="s">
        <v>48</v>
      </c>
      <c r="D43" s="195">
        <f>SUMPRODUCT((LEFT(F21:F37, 1)="C") / (COUNTIF(F21:F37, F21:F37 &amp; "") + (F21:F37="")))</f>
        <v>0</v>
      </c>
      <c r="E43" s="447" t="s">
        <v>90</v>
      </c>
      <c r="F43" s="447"/>
      <c r="G43" s="196">
        <v>0.26041666666666669</v>
      </c>
      <c r="H43" s="197" t="s">
        <v>23</v>
      </c>
      <c r="I43" s="196">
        <v>0.26041666666666669</v>
      </c>
      <c r="J43" s="197" t="s">
        <v>23</v>
      </c>
      <c r="K43" s="198">
        <f>+G43</f>
        <v>0.26041666666666669</v>
      </c>
      <c r="L43" s="197" t="s">
        <v>23</v>
      </c>
      <c r="M43" s="190"/>
      <c r="N43" s="190"/>
      <c r="O43" s="190"/>
      <c r="P43" s="190"/>
      <c r="Q43" s="190"/>
      <c r="R43" s="190"/>
      <c r="S43" s="190"/>
    </row>
    <row r="44" spans="2:24" x14ac:dyDescent="0.3">
      <c r="C44" s="194" t="s">
        <v>49</v>
      </c>
      <c r="D44" s="195">
        <f>SUMPRODUCT((LEFT(F21:F37, 1)="O") / (COUNTIF(F21:F37, F21:F37 &amp; "") + (F21:F37="")))</f>
        <v>0</v>
      </c>
      <c r="E44" s="448" t="s">
        <v>198</v>
      </c>
      <c r="F44" s="448"/>
      <c r="G44" s="199">
        <f>SUM(J21:J28)</f>
        <v>0.375</v>
      </c>
      <c r="H44" s="200">
        <f>+G44*24/($G$43*24)</f>
        <v>1.44</v>
      </c>
      <c r="I44" s="199">
        <f>SUM(J32:J37)</f>
        <v>0.5</v>
      </c>
      <c r="J44" s="200">
        <f>+I44*24/($I$43*24)</f>
        <v>1.92</v>
      </c>
      <c r="K44" s="201">
        <f>AVERAGE(G44+I44)/2</f>
        <v>0.4375</v>
      </c>
      <c r="L44" s="200">
        <f>+K44*24/($K$43*24)</f>
        <v>1.68</v>
      </c>
      <c r="M44" s="190"/>
      <c r="N44" s="190"/>
      <c r="O44" s="190"/>
      <c r="P44" s="190"/>
      <c r="Q44" s="190"/>
      <c r="R44" s="190"/>
      <c r="S44" s="190"/>
    </row>
    <row r="45" spans="2:24" ht="43.25" customHeight="1" thickBot="1" x14ac:dyDescent="0.35">
      <c r="E45" s="448" t="s">
        <v>94</v>
      </c>
      <c r="F45" s="448"/>
      <c r="G45" s="202"/>
      <c r="H45" s="203">
        <f>+AVERAGE(N21:N29)</f>
        <v>0.83333333333333337</v>
      </c>
      <c r="I45" s="202"/>
      <c r="J45" s="203">
        <f>+AVERAGE(N32:N37)</f>
        <v>1</v>
      </c>
      <c r="K45" s="204"/>
      <c r="L45" s="203">
        <f>+AVERAGE(N21:N37)</f>
        <v>0.8571428571428571</v>
      </c>
    </row>
    <row r="46" spans="2:24" ht="43.25" customHeight="1" x14ac:dyDescent="0.3">
      <c r="E46" s="205"/>
      <c r="F46" s="205"/>
      <c r="G46" s="206"/>
      <c r="H46" s="206"/>
      <c r="I46" s="137"/>
      <c r="J46" s="137"/>
      <c r="K46" s="137"/>
      <c r="L46" s="137"/>
    </row>
    <row r="47" spans="2:24" ht="43.25" customHeight="1" x14ac:dyDescent="0.3">
      <c r="E47" s="194"/>
      <c r="F47" s="194"/>
      <c r="G47" s="207"/>
      <c r="H47" s="208" t="s">
        <v>24</v>
      </c>
      <c r="I47" s="208" t="s">
        <v>199</v>
      </c>
      <c r="J47" s="208" t="s">
        <v>201</v>
      </c>
      <c r="K47" s="208" t="s">
        <v>404</v>
      </c>
      <c r="L47" s="345" t="s">
        <v>484</v>
      </c>
      <c r="M47" s="345" t="s">
        <v>485</v>
      </c>
      <c r="N47" s="208"/>
    </row>
    <row r="48" spans="2:24" ht="14.5" x14ac:dyDescent="0.35">
      <c r="E48" s="445" t="s">
        <v>174</v>
      </c>
      <c r="F48" s="445"/>
      <c r="G48" s="445"/>
      <c r="H48" s="209">
        <f>+U40</f>
        <v>0</v>
      </c>
      <c r="I48" s="298">
        <f>+H48*$J$48*$K$48</f>
        <v>0</v>
      </c>
      <c r="J48" s="298">
        <v>6.6</v>
      </c>
      <c r="K48" s="246">
        <v>3.42</v>
      </c>
      <c r="L48" s="344">
        <v>56.080975609756102</v>
      </c>
      <c r="M48" s="344">
        <f>+L48*K48*H48</f>
        <v>0</v>
      </c>
    </row>
    <row r="49" spans="2:13" ht="14.4" customHeight="1" x14ac:dyDescent="0.35">
      <c r="E49" s="445" t="s">
        <v>224</v>
      </c>
      <c r="F49" s="445"/>
      <c r="G49" s="445"/>
      <c r="H49" s="209"/>
      <c r="I49" s="298">
        <f>+J49*K49</f>
        <v>0</v>
      </c>
      <c r="J49" s="298">
        <f>1892/1000000</f>
        <v>1.892E-3</v>
      </c>
      <c r="K49" s="246">
        <f>+((15*4.4)*2.72)*0</f>
        <v>0</v>
      </c>
      <c r="L49" s="346">
        <v>1.6919982016368774E-2</v>
      </c>
      <c r="M49" s="344">
        <f>+L49*K49</f>
        <v>0</v>
      </c>
    </row>
    <row r="50" spans="2:13" ht="14.4" customHeight="1" x14ac:dyDescent="0.35">
      <c r="E50" s="445" t="s">
        <v>359</v>
      </c>
      <c r="F50" s="445"/>
      <c r="G50" s="445"/>
      <c r="H50" s="209"/>
      <c r="I50" s="298">
        <f>+J50*K50</f>
        <v>0</v>
      </c>
      <c r="J50" s="298">
        <v>0.340368</v>
      </c>
      <c r="K50" s="246">
        <v>0</v>
      </c>
      <c r="L50" s="346">
        <v>2.2358937544867188</v>
      </c>
      <c r="M50" s="344">
        <f>+L50*K50</f>
        <v>0</v>
      </c>
    </row>
    <row r="51" spans="2:13" ht="14.4" customHeight="1" x14ac:dyDescent="0.35">
      <c r="E51" s="445" t="s">
        <v>376</v>
      </c>
      <c r="F51" s="445"/>
      <c r="G51" s="445"/>
      <c r="H51" s="209">
        <v>0</v>
      </c>
      <c r="I51" s="298">
        <f>+H51*$J$51*$K$51</f>
        <v>0</v>
      </c>
      <c r="J51" s="298">
        <f>23683234/1000000</f>
        <v>23.683233999999999</v>
      </c>
      <c r="K51" s="226">
        <v>0</v>
      </c>
      <c r="L51" s="346">
        <v>254.98967741935485</v>
      </c>
      <c r="M51" s="344">
        <f>+L51*K51*H51</f>
        <v>0</v>
      </c>
    </row>
    <row r="52" spans="2:13" ht="14.4" customHeight="1" x14ac:dyDescent="0.35">
      <c r="E52" s="445" t="s">
        <v>236</v>
      </c>
      <c r="F52" s="445"/>
      <c r="G52" s="445"/>
      <c r="H52" s="209"/>
      <c r="I52" s="298">
        <f>+J52*K52</f>
        <v>0</v>
      </c>
      <c r="J52" s="298">
        <f>25508/1000000</f>
        <v>2.5507999999999999E-2</v>
      </c>
      <c r="K52" s="246">
        <f>7/(0.05)*0</f>
        <v>0</v>
      </c>
      <c r="L52" s="347" t="s">
        <v>486</v>
      </c>
      <c r="M52" s="349"/>
    </row>
    <row r="53" spans="2:13" ht="14.4" customHeight="1" x14ac:dyDescent="0.35">
      <c r="E53" s="445" t="s">
        <v>451</v>
      </c>
      <c r="F53" s="445"/>
      <c r="G53" s="445"/>
      <c r="H53" s="209">
        <v>1</v>
      </c>
      <c r="I53" s="298">
        <f>H53*J53</f>
        <v>7.9892054999999997</v>
      </c>
      <c r="J53" s="298">
        <f>15978411/2000000</f>
        <v>7.9892054999999997</v>
      </c>
      <c r="K53" s="246"/>
      <c r="L53" s="347" t="s">
        <v>486</v>
      </c>
      <c r="M53" s="344"/>
    </row>
    <row r="54" spans="2:13" ht="14.4" customHeight="1" x14ac:dyDescent="0.35">
      <c r="E54" s="445" t="s">
        <v>298</v>
      </c>
      <c r="F54" s="445"/>
      <c r="G54" s="445"/>
      <c r="H54" s="209"/>
      <c r="I54" s="210">
        <f>SUM(I48:I53)</f>
        <v>7.9892054999999997</v>
      </c>
      <c r="J54" s="214"/>
      <c r="K54" s="246"/>
      <c r="L54" s="344"/>
      <c r="M54" s="344"/>
    </row>
    <row r="55" spans="2:13" ht="14.4" customHeight="1" x14ac:dyDescent="0.35">
      <c r="E55" s="227"/>
      <c r="F55" s="227"/>
      <c r="G55" s="227"/>
      <c r="H55" s="209"/>
      <c r="I55" s="210"/>
      <c r="J55" s="214"/>
      <c r="K55" s="246"/>
      <c r="L55" s="344"/>
      <c r="M55" s="344"/>
    </row>
    <row r="56" spans="2:13" ht="14.4" customHeight="1" x14ac:dyDescent="0.35">
      <c r="E56" s="445" t="s">
        <v>175</v>
      </c>
      <c r="F56" s="445"/>
      <c r="G56" s="445"/>
      <c r="H56" s="209">
        <f>+U29</f>
        <v>0</v>
      </c>
      <c r="I56" s="210">
        <f>+H56*$J$56*$K$56</f>
        <v>0</v>
      </c>
      <c r="J56" s="211">
        <v>11.8</v>
      </c>
      <c r="K56" s="246">
        <v>4</v>
      </c>
      <c r="L56" s="344">
        <v>118.52055555555555</v>
      </c>
      <c r="M56" s="344">
        <f>+L56*K56*H56</f>
        <v>0</v>
      </c>
    </row>
    <row r="57" spans="2:13" ht="14.4" customHeight="1" x14ac:dyDescent="0.35">
      <c r="E57" s="445" t="s">
        <v>225</v>
      </c>
      <c r="F57" s="445"/>
      <c r="G57" s="445"/>
      <c r="H57" s="209"/>
      <c r="I57" s="210">
        <f>+J57*K57</f>
        <v>0</v>
      </c>
      <c r="J57" s="296">
        <f>+J49*0</f>
        <v>0</v>
      </c>
      <c r="K57" s="215">
        <f>+((15*2.8)*2.72)*K28</f>
        <v>0</v>
      </c>
      <c r="L57" s="346">
        <v>1.6919982016368774E-2</v>
      </c>
      <c r="M57" s="344">
        <f>+L57*K57</f>
        <v>0</v>
      </c>
    </row>
    <row r="58" spans="2:13" ht="14.4" customHeight="1" x14ac:dyDescent="0.35">
      <c r="E58" s="445" t="s">
        <v>532</v>
      </c>
      <c r="F58" s="445"/>
      <c r="G58" s="445"/>
      <c r="H58" s="209">
        <v>1</v>
      </c>
      <c r="I58" s="298">
        <f>+H58*$J$58*$K$58</f>
        <v>0</v>
      </c>
      <c r="J58" s="298">
        <f>3653911/1000000</f>
        <v>3.6539109999999999</v>
      </c>
      <c r="K58" s="246"/>
      <c r="L58" s="347" t="s">
        <v>486</v>
      </c>
      <c r="M58" s="344"/>
    </row>
    <row r="59" spans="2:13" ht="14.4" customHeight="1" x14ac:dyDescent="0.35">
      <c r="E59" s="445" t="s">
        <v>297</v>
      </c>
      <c r="F59" s="445"/>
      <c r="G59" s="445"/>
      <c r="H59" s="209"/>
      <c r="I59" s="210">
        <f>SUM(I56:I58)</f>
        <v>0</v>
      </c>
      <c r="J59" s="214"/>
      <c r="K59" s="246"/>
      <c r="L59" s="347"/>
      <c r="M59" s="349"/>
    </row>
    <row r="60" spans="2:13" ht="14.4" customHeight="1" x14ac:dyDescent="0.3">
      <c r="E60" s="227"/>
      <c r="F60" s="227"/>
      <c r="G60" s="227"/>
      <c r="H60" s="209"/>
      <c r="I60" s="210"/>
      <c r="J60" s="214"/>
      <c r="K60" s="246"/>
      <c r="L60" s="213"/>
      <c r="M60" s="352">
        <f>SUM(M48:M59)</f>
        <v>0</v>
      </c>
    </row>
    <row r="61" spans="2:13" ht="14.4" customHeight="1" x14ac:dyDescent="0.3">
      <c r="L61" s="213"/>
    </row>
    <row r="62" spans="2:13" ht="7.75" customHeight="1" thickBot="1" x14ac:dyDescent="0.35"/>
    <row r="63" spans="2:13" ht="30" customHeight="1" thickBot="1" x14ac:dyDescent="0.35">
      <c r="B63" s="191"/>
      <c r="C63" s="446" t="s">
        <v>88</v>
      </c>
      <c r="D63" s="446"/>
      <c r="E63" s="192"/>
      <c r="F63" s="192"/>
      <c r="G63" s="192"/>
      <c r="H63" s="192"/>
      <c r="I63" s="216"/>
      <c r="J63" s="193"/>
    </row>
    <row r="64" spans="2:13" ht="38" customHeight="1" x14ac:dyDescent="0.3">
      <c r="C64" s="217" t="s">
        <v>89</v>
      </c>
      <c r="D64" s="195">
        <f>SUMPRODUCT((LEFT(G21:G37, 5)="Jumbo") / (COUNTIF(G21:G37, G21:G37 &amp; "") + (G21:G37="")))</f>
        <v>0</v>
      </c>
      <c r="E64" s="447" t="s">
        <v>90</v>
      </c>
      <c r="F64" s="447"/>
      <c r="G64" s="218">
        <v>0.20833333333333334</v>
      </c>
      <c r="I64" s="139"/>
      <c r="J64" s="190"/>
    </row>
    <row r="65" spans="2:10" ht="38" customHeight="1" x14ac:dyDescent="0.3">
      <c r="E65" s="447" t="s">
        <v>93</v>
      </c>
      <c r="F65" s="447"/>
      <c r="G65" s="195">
        <f>15000/(60)</f>
        <v>250</v>
      </c>
      <c r="H65" s="219" t="s">
        <v>143</v>
      </c>
      <c r="I65" s="139"/>
      <c r="J65" s="190"/>
    </row>
    <row r="66" spans="2:10" ht="38" customHeight="1" x14ac:dyDescent="0.3">
      <c r="E66" s="448" t="s">
        <v>91</v>
      </c>
      <c r="F66" s="448"/>
      <c r="G66" s="207" t="e">
        <f>+SUM(SUMIF($G$21:$G$37, "Jumbo*", $J$21:$J$37))/SUMPRODUCT((LEFT(G21:G37, 5)="Jumbo") / (COUNTIF(G21:G37, G21:G37 &amp; "") + (G21:G37="")))</f>
        <v>#DIV/0!</v>
      </c>
      <c r="H66" s="220" t="e">
        <f>+G66*24/($G$64*24)</f>
        <v>#DIV/0!</v>
      </c>
      <c r="I66" s="190"/>
      <c r="J66" s="190"/>
    </row>
    <row r="67" spans="2:10" ht="38" customHeight="1" x14ac:dyDescent="0.3">
      <c r="E67" s="448" t="s">
        <v>92</v>
      </c>
      <c r="F67" s="448"/>
      <c r="G67" s="221" t="e">
        <f>+SUM(V21:V37)/D64</f>
        <v>#DIV/0!</v>
      </c>
      <c r="H67" s="220" t="e">
        <f>+G67/G65</f>
        <v>#DIV/0!</v>
      </c>
      <c r="I67" s="190"/>
      <c r="J67" s="190"/>
    </row>
    <row r="68" spans="2:10" ht="38" customHeight="1" x14ac:dyDescent="0.3">
      <c r="G68" s="222" t="s">
        <v>87</v>
      </c>
      <c r="H68" s="139" t="s">
        <v>23</v>
      </c>
    </row>
    <row r="69" spans="2:10" ht="20" customHeight="1" x14ac:dyDescent="0.3">
      <c r="F69" s="208" t="s">
        <v>65</v>
      </c>
      <c r="G69" s="221">
        <f t="shared" ref="G69:G74" si="10" xml:space="preserve"> SUMIF($G$21:$G$37, +F69,$V$21:$V$37)</f>
        <v>0</v>
      </c>
      <c r="H69" s="220">
        <f t="shared" ref="H69:H74" si="11">+G69/$G$65</f>
        <v>0</v>
      </c>
    </row>
    <row r="70" spans="2:10" ht="20" customHeight="1" x14ac:dyDescent="0.3">
      <c r="F70" s="208" t="s">
        <v>66</v>
      </c>
      <c r="G70" s="221">
        <f t="shared" si="10"/>
        <v>0</v>
      </c>
      <c r="H70" s="220">
        <f t="shared" si="11"/>
        <v>0</v>
      </c>
    </row>
    <row r="71" spans="2:10" ht="20" customHeight="1" x14ac:dyDescent="0.3">
      <c r="F71" s="208" t="s">
        <v>67</v>
      </c>
      <c r="G71" s="221">
        <f t="shared" si="10"/>
        <v>0</v>
      </c>
      <c r="H71" s="220">
        <f t="shared" si="11"/>
        <v>0</v>
      </c>
    </row>
    <row r="72" spans="2:10" ht="20" customHeight="1" x14ac:dyDescent="0.3">
      <c r="F72" s="208" t="s">
        <v>68</v>
      </c>
      <c r="G72" s="221">
        <f t="shared" si="10"/>
        <v>0</v>
      </c>
      <c r="H72" s="220">
        <f t="shared" si="11"/>
        <v>0</v>
      </c>
    </row>
    <row r="73" spans="2:10" ht="20" customHeight="1" x14ac:dyDescent="0.3">
      <c r="F73" s="208" t="s">
        <v>69</v>
      </c>
      <c r="G73" s="221">
        <f t="shared" si="10"/>
        <v>0</v>
      </c>
      <c r="H73" s="220">
        <f t="shared" si="11"/>
        <v>0</v>
      </c>
    </row>
    <row r="74" spans="2:10" ht="20" customHeight="1" x14ac:dyDescent="0.3">
      <c r="F74" s="208" t="s">
        <v>70</v>
      </c>
      <c r="G74" s="221">
        <f t="shared" si="10"/>
        <v>0</v>
      </c>
      <c r="H74" s="220">
        <f t="shared" si="11"/>
        <v>0</v>
      </c>
    </row>
    <row r="75" spans="2:10" ht="20" customHeight="1" x14ac:dyDescent="0.3">
      <c r="F75" s="208" t="s">
        <v>146</v>
      </c>
      <c r="G75" s="223">
        <f>+SUM(G69:G74)</f>
        <v>0</v>
      </c>
      <c r="H75" s="220" t="e">
        <f>+G75/($G$65*$D$64)</f>
        <v>#DIV/0!</v>
      </c>
    </row>
    <row r="76" spans="2:10" ht="13.5" thickBot="1" x14ac:dyDescent="0.35"/>
    <row r="77" spans="2:10" ht="30" customHeight="1" thickBot="1" x14ac:dyDescent="0.35">
      <c r="B77" s="191"/>
      <c r="C77" s="446" t="s">
        <v>107</v>
      </c>
      <c r="D77" s="446"/>
      <c r="E77" s="192"/>
      <c r="F77" s="192"/>
      <c r="G77" s="192"/>
      <c r="H77" s="192"/>
      <c r="I77" s="216"/>
      <c r="J77" s="193"/>
    </row>
    <row r="78" spans="2:10" ht="38" customHeight="1" x14ac:dyDescent="0.3">
      <c r="C78" s="208" t="s">
        <v>95</v>
      </c>
      <c r="D78" s="195">
        <f>SUMPRODUCT((LEFT(G21:G37, 5)="Scoop") / (COUNTIF(G21:G37, G21:G37 &amp; "") + (G21:G37="")))</f>
        <v>0</v>
      </c>
      <c r="E78" s="447" t="s">
        <v>90</v>
      </c>
      <c r="F78" s="447"/>
      <c r="G78" s="218">
        <v>0.20833333333333334</v>
      </c>
      <c r="I78" s="139"/>
      <c r="J78" s="190"/>
    </row>
    <row r="79" spans="2:10" ht="38" customHeight="1" x14ac:dyDescent="0.3">
      <c r="C79" s="208" t="s">
        <v>145</v>
      </c>
      <c r="D79" s="195">
        <v>4.9000000000000004</v>
      </c>
      <c r="E79" s="447" t="s">
        <v>97</v>
      </c>
      <c r="F79" s="447"/>
      <c r="G79" s="195">
        <f>15000/(60)</f>
        <v>250</v>
      </c>
      <c r="H79" s="219" t="s">
        <v>23</v>
      </c>
      <c r="I79" s="139"/>
      <c r="J79" s="190"/>
    </row>
    <row r="80" spans="2:10" ht="38" customHeight="1" x14ac:dyDescent="0.3">
      <c r="E80" s="448" t="s">
        <v>98</v>
      </c>
      <c r="F80" s="448"/>
      <c r="G80" s="207" t="e">
        <f>+SUM(SUMIF($G$21:$G$37, "Scoop*", $J$21:$J$37))/SUMPRODUCT((LEFT(G21:G37, 5)="Scoop") / (COUNTIF(G21:G37, G21:G37 &amp; "") + (G21:G37="")))</f>
        <v>#DIV/0!</v>
      </c>
      <c r="H80" s="220" t="e">
        <f>+G80*24/($G$78*24)</f>
        <v>#DIV/0!</v>
      </c>
      <c r="I80" s="190"/>
      <c r="J80" s="190"/>
    </row>
    <row r="81" spans="2:10" ht="38" customHeight="1" x14ac:dyDescent="0.3">
      <c r="E81" s="448" t="s">
        <v>99</v>
      </c>
      <c r="F81" s="448"/>
      <c r="G81" s="221" t="e">
        <f>+SUM(W21:W37)*D79/D78</f>
        <v>#DIV/0!</v>
      </c>
      <c r="H81" s="220" t="e">
        <f>+G81/G79</f>
        <v>#DIV/0!</v>
      </c>
      <c r="I81" s="190"/>
      <c r="J81" s="190"/>
    </row>
    <row r="82" spans="2:10" ht="38" customHeight="1" x14ac:dyDescent="0.3">
      <c r="G82" s="222" t="s">
        <v>96</v>
      </c>
      <c r="H82" s="139" t="s">
        <v>23</v>
      </c>
    </row>
    <row r="83" spans="2:10" ht="20" customHeight="1" x14ac:dyDescent="0.3">
      <c r="F83" s="208" t="s">
        <v>71</v>
      </c>
      <c r="G83" s="221">
        <f t="shared" ref="G83:G88" si="12" xml:space="preserve"> SUMIF($G$21:$G$37, +F83,$W$21:$W$37)*$D$79</f>
        <v>0</v>
      </c>
      <c r="H83" s="220">
        <f>+G83/$G$79</f>
        <v>0</v>
      </c>
    </row>
    <row r="84" spans="2:10" ht="20" customHeight="1" x14ac:dyDescent="0.3">
      <c r="F84" s="208" t="s">
        <v>72</v>
      </c>
      <c r="G84" s="221">
        <f t="shared" si="12"/>
        <v>0</v>
      </c>
      <c r="H84" s="220">
        <f t="shared" ref="H84:H89" si="13">+G84/$G$79</f>
        <v>0</v>
      </c>
    </row>
    <row r="85" spans="2:10" ht="20" customHeight="1" x14ac:dyDescent="0.3">
      <c r="F85" s="208" t="s">
        <v>73</v>
      </c>
      <c r="G85" s="221">
        <f t="shared" si="12"/>
        <v>0</v>
      </c>
      <c r="H85" s="220">
        <f t="shared" si="13"/>
        <v>0</v>
      </c>
    </row>
    <row r="86" spans="2:10" ht="20" customHeight="1" x14ac:dyDescent="0.3">
      <c r="F86" s="208" t="s">
        <v>74</v>
      </c>
      <c r="G86" s="221">
        <f t="shared" si="12"/>
        <v>0</v>
      </c>
      <c r="H86" s="220">
        <f t="shared" si="13"/>
        <v>0</v>
      </c>
    </row>
    <row r="87" spans="2:10" ht="20" customHeight="1" x14ac:dyDescent="0.3">
      <c r="F87" s="208" t="s">
        <v>75</v>
      </c>
      <c r="G87" s="221">
        <f t="shared" si="12"/>
        <v>0</v>
      </c>
      <c r="H87" s="220">
        <f t="shared" si="13"/>
        <v>0</v>
      </c>
    </row>
    <row r="88" spans="2:10" ht="20" customHeight="1" x14ac:dyDescent="0.3">
      <c r="F88" s="208" t="s">
        <v>76</v>
      </c>
      <c r="G88" s="221">
        <f t="shared" si="12"/>
        <v>0</v>
      </c>
      <c r="H88" s="220">
        <f t="shared" si="13"/>
        <v>0</v>
      </c>
    </row>
    <row r="89" spans="2:10" ht="20" customHeight="1" x14ac:dyDescent="0.3">
      <c r="F89" s="208" t="s">
        <v>146</v>
      </c>
      <c r="G89" s="223">
        <f>+SUM(G83:G88)</f>
        <v>0</v>
      </c>
      <c r="H89" s="220">
        <f t="shared" si="13"/>
        <v>0</v>
      </c>
    </row>
    <row r="90" spans="2:10" ht="13.5" thickBot="1" x14ac:dyDescent="0.35"/>
    <row r="91" spans="2:10" ht="30" customHeight="1" thickBot="1" x14ac:dyDescent="0.35">
      <c r="B91" s="191"/>
      <c r="C91" s="446" t="s">
        <v>149</v>
      </c>
      <c r="D91" s="446"/>
      <c r="E91" s="192"/>
      <c r="F91" s="192"/>
      <c r="G91" s="192"/>
      <c r="H91" s="192"/>
      <c r="I91" s="216"/>
      <c r="J91" s="193"/>
    </row>
    <row r="92" spans="2:10" ht="25.25" customHeight="1" x14ac:dyDescent="0.3">
      <c r="C92" s="208" t="s">
        <v>150</v>
      </c>
      <c r="D92" s="195">
        <f>SUMPRODUCT((LEFT(G21:G37, 8)="Roboshot") / (COUNTIF(G21:G37, G21:G37 &amp; "") + (G21:G37="")))</f>
        <v>0</v>
      </c>
      <c r="E92" s="447" t="s">
        <v>90</v>
      </c>
      <c r="F92" s="447"/>
      <c r="G92" s="218">
        <v>0.20833333333333334</v>
      </c>
    </row>
    <row r="93" spans="2:10" x14ac:dyDescent="0.3">
      <c r="C93" s="208"/>
      <c r="D93" s="195"/>
      <c r="E93" s="447" t="s">
        <v>97</v>
      </c>
      <c r="F93" s="447"/>
      <c r="G93" s="195">
        <v>12</v>
      </c>
      <c r="H93" s="219" t="s">
        <v>23</v>
      </c>
    </row>
    <row r="95" spans="2:10" x14ac:dyDescent="0.3">
      <c r="G95" s="222" t="s">
        <v>96</v>
      </c>
      <c r="H95" s="139" t="s">
        <v>23</v>
      </c>
    </row>
    <row r="96" spans="2:10" x14ac:dyDescent="0.3">
      <c r="F96" s="208" t="s">
        <v>77</v>
      </c>
      <c r="G96" s="221">
        <f xml:space="preserve"> SUMIF($G$21:$G$37, +F96,$X$21:$X$37)</f>
        <v>0</v>
      </c>
      <c r="H96" s="220">
        <f>+G96/$G$93</f>
        <v>0</v>
      </c>
    </row>
    <row r="97" spans="6:8" x14ac:dyDescent="0.3">
      <c r="F97" s="208" t="s">
        <v>78</v>
      </c>
      <c r="G97" s="221">
        <f xml:space="preserve"> SUMIF($G$21:$G$37, +F97,$X$21:$X$37)</f>
        <v>0</v>
      </c>
      <c r="H97" s="220">
        <f t="shared" ref="H97:H98" si="14">+G97/$G$93</f>
        <v>0</v>
      </c>
    </row>
    <row r="98" spans="6:8" x14ac:dyDescent="0.3">
      <c r="F98" s="208" t="s">
        <v>79</v>
      </c>
      <c r="G98" s="221">
        <f xml:space="preserve"> SUMIF($G$21:$G$37, +F98,$X$21:$X$37)</f>
        <v>0</v>
      </c>
      <c r="H98" s="220">
        <f t="shared" si="14"/>
        <v>0</v>
      </c>
    </row>
    <row r="99" spans="6:8" x14ac:dyDescent="0.3">
      <c r="F99" s="208" t="s">
        <v>146</v>
      </c>
      <c r="G99" s="223">
        <f>+SUM(G96:G98)</f>
        <v>0</v>
      </c>
      <c r="H99" s="220">
        <f>+G99/$G$93</f>
        <v>0</v>
      </c>
    </row>
  </sheetData>
  <mergeCells count="42">
    <mergeCell ref="E48:G48"/>
    <mergeCell ref="E49:G49"/>
    <mergeCell ref="K8:L8"/>
    <mergeCell ref="B1:D4"/>
    <mergeCell ref="E2:R2"/>
    <mergeCell ref="E3:R4"/>
    <mergeCell ref="K6:L6"/>
    <mergeCell ref="K7:L7"/>
    <mergeCell ref="E57:G57"/>
    <mergeCell ref="E58:G58"/>
    <mergeCell ref="E59:G59"/>
    <mergeCell ref="E50:G50"/>
    <mergeCell ref="K9:L9"/>
    <mergeCell ref="K10:L10"/>
    <mergeCell ref="K11:L11"/>
    <mergeCell ref="K12:L12"/>
    <mergeCell ref="B14:S14"/>
    <mergeCell ref="C42:D42"/>
    <mergeCell ref="G42:H42"/>
    <mergeCell ref="I42:J42"/>
    <mergeCell ref="K42:L42"/>
    <mergeCell ref="E43:F43"/>
    <mergeCell ref="E44:F44"/>
    <mergeCell ref="E45:F45"/>
    <mergeCell ref="E51:G51"/>
    <mergeCell ref="E52:G52"/>
    <mergeCell ref="E53:G53"/>
    <mergeCell ref="E54:G54"/>
    <mergeCell ref="E56:G56"/>
    <mergeCell ref="C63:D63"/>
    <mergeCell ref="E64:F64"/>
    <mergeCell ref="E65:F65"/>
    <mergeCell ref="C91:D91"/>
    <mergeCell ref="E92:F92"/>
    <mergeCell ref="E66:F66"/>
    <mergeCell ref="E93:F93"/>
    <mergeCell ref="E67:F67"/>
    <mergeCell ref="C77:D77"/>
    <mergeCell ref="E78:F78"/>
    <mergeCell ref="E79:F79"/>
    <mergeCell ref="E80:F80"/>
    <mergeCell ref="E81:F81"/>
  </mergeCells>
  <conditionalFormatting sqref="H44:H45 J44:J45">
    <cfRule type="cellIs" dxfId="41" priority="13" operator="greaterThan">
      <formula>0.9</formula>
    </cfRule>
    <cfRule type="cellIs" dxfId="40" priority="14" operator="between">
      <formula>0.81</formula>
      <formula>0.89</formula>
    </cfRule>
    <cfRule type="cellIs" dxfId="39" priority="15" operator="lessThan">
      <formula>0.8</formula>
    </cfRule>
  </conditionalFormatting>
  <conditionalFormatting sqref="H66:H67">
    <cfRule type="cellIs" dxfId="38" priority="16" operator="greaterThan">
      <formula>0.9</formula>
    </cfRule>
    <cfRule type="cellIs" dxfId="37" priority="17" operator="between">
      <formula>0.81</formula>
      <formula>0.89</formula>
    </cfRule>
    <cfRule type="cellIs" dxfId="36" priority="18" operator="lessThan">
      <formula>0.8</formula>
    </cfRule>
  </conditionalFormatting>
  <conditionalFormatting sqref="H69:H75">
    <cfRule type="cellIs" dxfId="35" priority="19" operator="greaterThan">
      <formula>0.9</formula>
    </cfRule>
    <cfRule type="cellIs" dxfId="34" priority="20" operator="between">
      <formula>0.81</formula>
      <formula>0.89</formula>
    </cfRule>
    <cfRule type="cellIs" dxfId="33" priority="21" operator="lessThan">
      <formula>0.8</formula>
    </cfRule>
  </conditionalFormatting>
  <conditionalFormatting sqref="H80:H81">
    <cfRule type="cellIs" dxfId="32" priority="7" operator="greaterThan">
      <formula>0.9</formula>
    </cfRule>
    <cfRule type="cellIs" dxfId="31" priority="8" operator="between">
      <formula>0.81</formula>
      <formula>0.89</formula>
    </cfRule>
    <cfRule type="cellIs" dxfId="30" priority="9" operator="lessThan">
      <formula>0.8</formula>
    </cfRule>
  </conditionalFormatting>
  <conditionalFormatting sqref="H83:H89">
    <cfRule type="cellIs" dxfId="29" priority="10" operator="greaterThan">
      <formula>0.9</formula>
    </cfRule>
    <cfRule type="cellIs" dxfId="28" priority="11" operator="between">
      <formula>0.81</formula>
      <formula>0.89</formula>
    </cfRule>
    <cfRule type="cellIs" dxfId="27" priority="12" operator="lessThan">
      <formula>0.8</formula>
    </cfRule>
  </conditionalFormatting>
  <conditionalFormatting sqref="H96:H99">
    <cfRule type="cellIs" dxfId="26" priority="4" operator="greaterThan">
      <formula>0.9</formula>
    </cfRule>
    <cfRule type="cellIs" dxfId="25" priority="5" operator="between">
      <formula>0.81</formula>
      <formula>0.89</formula>
    </cfRule>
    <cfRule type="cellIs" dxfId="24" priority="6" operator="lessThan">
      <formula>0.8</formula>
    </cfRule>
  </conditionalFormatting>
  <conditionalFormatting sqref="L44:L45">
    <cfRule type="cellIs" dxfId="23" priority="1" operator="greaterThan">
      <formula>0.9</formula>
    </cfRule>
    <cfRule type="cellIs" dxfId="22" priority="2" operator="between">
      <formula>0.81</formula>
      <formula>0.89</formula>
    </cfRule>
    <cfRule type="cellIs" dxfId="21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99771830-B344-47AA-B84A-29FE77558CD3}">
          <x14:formula1>
            <xm:f>Datos!$F$3:$F$41</xm:f>
          </x14:formula1>
          <xm:sqref>G32:G40 G21:G29</xm:sqref>
        </x14:dataValidation>
        <x14:dataValidation type="list" allowBlank="1" showInputMessage="1" showErrorMessage="1" xr:uid="{D473F54F-FEA3-47B4-9906-80044079B940}">
          <x14:formula1>
            <xm:f>Datos!$W$3:$W$12</xm:f>
          </x14:formula1>
          <xm:sqref>L32:L40 L21:L29</xm:sqref>
        </x14:dataValidation>
        <x14:dataValidation type="list" allowBlank="1" showInputMessage="1" showErrorMessage="1" xr:uid="{2DCCEC3B-2BF8-4A23-98E2-B700AE034B01}">
          <x14:formula1>
            <xm:f>Datos!$D$3:$D$27</xm:f>
          </x14:formula1>
          <xm:sqref>F32:F40 F21:F29</xm:sqref>
        </x14:dataValidation>
        <x14:dataValidation type="list" allowBlank="1" showInputMessage="1" showErrorMessage="1" xr:uid="{7325887E-AF5B-41DE-94F1-91465F51451F}">
          <x14:formula1>
            <xm:f>Datos!$B$3:$B$8</xm:f>
          </x14:formula1>
          <xm:sqref>E32:E40 E21:E29</xm:sqref>
        </x14:dataValidation>
        <x14:dataValidation type="list" allowBlank="1" showInputMessage="1" showErrorMessage="1" xr:uid="{A7DA3F6A-855F-4B5E-86FB-DE0B51040689}">
          <x14:formula1>
            <xm:f>Datos!$H$3:$H$34</xm:f>
          </x14:formula1>
          <xm:sqref>D32:D39 D21:D28</xm:sqref>
        </x14:dataValidation>
        <x14:dataValidation type="list" allowBlank="1" showInputMessage="1" showErrorMessage="1" xr:uid="{7D96E6AB-DF42-4780-B4A1-865C81C0704A}">
          <x14:formula1>
            <xm:f>Datos!$H$3:$H$26</xm:f>
          </x14:formula1>
          <xm:sqref>D29 D40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DE31-CF3E-4AE0-B66A-CEC3CFAD4EBE}">
  <sheetPr>
    <pageSetUpPr fitToPage="1"/>
  </sheetPr>
  <dimension ref="B1:X96"/>
  <sheetViews>
    <sheetView showGridLines="0" topLeftCell="A19" zoomScale="70" zoomScaleNormal="70" zoomScaleSheetLayoutView="50" workbookViewId="0">
      <pane xSplit="3" ySplit="2" topLeftCell="D21" activePane="bottomRight" state="frozen"/>
      <selection activeCell="K27" sqref="K27"/>
      <selection pane="topRight" activeCell="K27" sqref="K27"/>
      <selection pane="bottomLeft" activeCell="K27" sqref="K27"/>
      <selection pane="bottomRight" activeCell="I28" sqref="I27:I28"/>
    </sheetView>
  </sheetViews>
  <sheetFormatPr baseColWidth="10" defaultColWidth="11.54296875" defaultRowHeight="13" x14ac:dyDescent="0.3"/>
  <cols>
    <col min="1" max="1" width="2.81640625" style="134" customWidth="1"/>
    <col min="2" max="2" width="8.81640625" style="134" bestFit="1" customWidth="1"/>
    <col min="3" max="3" width="30.36328125" style="134" customWidth="1"/>
    <col min="4" max="4" width="18.6328125" style="134" bestFit="1" customWidth="1"/>
    <col min="5" max="5" width="10.1796875" style="134" bestFit="1" customWidth="1"/>
    <col min="6" max="6" width="11.1796875" style="134" bestFit="1" customWidth="1"/>
    <col min="7" max="7" width="20.36328125" style="134" customWidth="1"/>
    <col min="8" max="8" width="14.08984375" style="134" bestFit="1" customWidth="1"/>
    <col min="9" max="9" width="9.90625" style="134" customWidth="1"/>
    <col min="10" max="10" width="17.6328125" style="134" bestFit="1" customWidth="1"/>
    <col min="11" max="11" width="18.453125" style="134" bestFit="1" customWidth="1"/>
    <col min="12" max="12" width="22.36328125" style="134" bestFit="1" customWidth="1"/>
    <col min="13" max="13" width="17.6328125" style="134" bestFit="1" customWidth="1"/>
    <col min="14" max="14" width="14" style="134" bestFit="1" customWidth="1"/>
    <col min="15" max="15" width="46.90625" style="134" customWidth="1"/>
    <col min="16" max="16" width="27" style="134" bestFit="1" customWidth="1"/>
    <col min="17" max="17" width="7.81640625" style="134" customWidth="1"/>
    <col min="18" max="18" width="8.36328125" style="134" bestFit="1" customWidth="1"/>
    <col min="19" max="19" width="13.81640625" style="134" bestFit="1" customWidth="1"/>
    <col min="20" max="20" width="4" style="134" customWidth="1"/>
    <col min="21" max="21" width="18.54296875" style="134" bestFit="1" customWidth="1"/>
    <col min="22" max="22" width="6.54296875" style="134" customWidth="1"/>
    <col min="23" max="23" width="11.36328125" style="134" customWidth="1"/>
    <col min="24" max="24" width="11.08984375" style="134" customWidth="1"/>
    <col min="25" max="16384" width="11.54296875" style="134"/>
  </cols>
  <sheetData>
    <row r="1" spans="2:19" ht="24.5" hidden="1" customHeight="1" x14ac:dyDescent="0.3">
      <c r="B1" s="435"/>
      <c r="C1" s="436"/>
      <c r="D1" s="437"/>
      <c r="S1" s="135" t="s">
        <v>10</v>
      </c>
    </row>
    <row r="2" spans="2:19" ht="24.5" hidden="1" customHeight="1" x14ac:dyDescent="0.3">
      <c r="B2" s="438"/>
      <c r="C2" s="439"/>
      <c r="D2" s="440"/>
      <c r="E2" s="441" t="s">
        <v>0</v>
      </c>
      <c r="F2" s="441"/>
      <c r="G2" s="441"/>
      <c r="H2" s="441"/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140"/>
    </row>
    <row r="3" spans="2:19" hidden="1" x14ac:dyDescent="0.3">
      <c r="B3" s="438"/>
      <c r="C3" s="439"/>
      <c r="D3" s="440"/>
      <c r="E3" s="441" t="s">
        <v>17</v>
      </c>
      <c r="F3" s="441"/>
      <c r="G3" s="441"/>
      <c r="H3" s="441"/>
      <c r="I3" s="441"/>
      <c r="J3" s="441"/>
      <c r="K3" s="441"/>
      <c r="L3" s="441"/>
      <c r="M3" s="441"/>
      <c r="N3" s="441"/>
      <c r="O3" s="441"/>
      <c r="P3" s="441"/>
      <c r="Q3" s="441"/>
      <c r="R3" s="442"/>
      <c r="S3" s="140" t="s">
        <v>1</v>
      </c>
    </row>
    <row r="4" spans="2:19" hidden="1" x14ac:dyDescent="0.3">
      <c r="B4" s="438"/>
      <c r="C4" s="439"/>
      <c r="D4" s="440"/>
      <c r="E4" s="441"/>
      <c r="F4" s="441"/>
      <c r="G4" s="441"/>
      <c r="H4" s="441"/>
      <c r="I4" s="441"/>
      <c r="J4" s="441"/>
      <c r="K4" s="441"/>
      <c r="L4" s="441"/>
      <c r="M4" s="441"/>
      <c r="N4" s="441"/>
      <c r="O4" s="441"/>
      <c r="P4" s="441"/>
      <c r="Q4" s="441"/>
      <c r="R4" s="442"/>
      <c r="S4" s="141" t="s">
        <v>16</v>
      </c>
    </row>
    <row r="5" spans="2:19" ht="17" hidden="1" customHeight="1" x14ac:dyDescent="0.3">
      <c r="B5" s="131"/>
      <c r="C5" s="142"/>
      <c r="D5" s="132"/>
      <c r="E5" s="143"/>
      <c r="F5" s="143"/>
      <c r="G5" s="143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3"/>
    </row>
    <row r="6" spans="2:19" ht="17" hidden="1" customHeight="1" x14ac:dyDescent="0.3">
      <c r="B6" s="136"/>
      <c r="C6" s="144" t="s">
        <v>18</v>
      </c>
      <c r="D6" s="145"/>
      <c r="E6" s="146"/>
      <c r="F6" s="146"/>
      <c r="G6" s="146"/>
      <c r="H6" s="137"/>
      <c r="I6" s="137"/>
      <c r="J6" s="145"/>
      <c r="K6" s="443" t="s">
        <v>119</v>
      </c>
      <c r="L6" s="443"/>
      <c r="M6" s="147">
        <f>+G41</f>
        <v>0</v>
      </c>
      <c r="O6" s="137"/>
      <c r="P6" s="137"/>
      <c r="Q6" s="137"/>
      <c r="R6" s="137"/>
      <c r="S6" s="138"/>
    </row>
    <row r="7" spans="2:19" ht="17" hidden="1" customHeight="1" x14ac:dyDescent="0.3">
      <c r="B7" s="136"/>
      <c r="C7" s="145" t="s">
        <v>19</v>
      </c>
      <c r="D7" s="145"/>
      <c r="E7" s="146"/>
      <c r="F7" s="146"/>
      <c r="G7" s="146"/>
      <c r="H7" s="137"/>
      <c r="I7" s="137"/>
      <c r="J7" s="145"/>
      <c r="K7" s="443" t="s">
        <v>117</v>
      </c>
      <c r="L7" s="443"/>
      <c r="M7" s="148">
        <f>+H42</f>
        <v>0.25</v>
      </c>
      <c r="O7" s="137"/>
      <c r="P7" s="137"/>
      <c r="Q7" s="137"/>
      <c r="R7" s="137"/>
      <c r="S7" s="138"/>
    </row>
    <row r="8" spans="2:19" ht="17" hidden="1" customHeight="1" x14ac:dyDescent="0.3">
      <c r="B8" s="136"/>
      <c r="C8" s="145" t="s">
        <v>20</v>
      </c>
      <c r="D8" s="145"/>
      <c r="E8" s="146"/>
      <c r="F8" s="146"/>
      <c r="G8" s="146"/>
      <c r="H8" s="137"/>
      <c r="I8" s="137"/>
      <c r="J8" s="145" t="s">
        <v>115</v>
      </c>
      <c r="K8" s="443" t="s">
        <v>118</v>
      </c>
      <c r="L8" s="443"/>
      <c r="M8" s="149">
        <f>+G72</f>
        <v>0</v>
      </c>
      <c r="O8" s="137"/>
      <c r="P8" s="137"/>
      <c r="Q8" s="137"/>
      <c r="R8" s="137"/>
      <c r="S8" s="138"/>
    </row>
    <row r="9" spans="2:19" ht="17" hidden="1" customHeight="1" x14ac:dyDescent="0.3">
      <c r="B9" s="136"/>
      <c r="C9" s="145" t="s">
        <v>21</v>
      </c>
      <c r="D9" s="145"/>
      <c r="E9" s="146"/>
      <c r="F9" s="146"/>
      <c r="G9" s="146"/>
      <c r="H9" s="137"/>
      <c r="I9" s="137"/>
      <c r="J9" s="145" t="s">
        <v>116</v>
      </c>
      <c r="K9" s="443" t="s">
        <v>147</v>
      </c>
      <c r="L9" s="443"/>
      <c r="M9" s="149">
        <f>+G86</f>
        <v>0</v>
      </c>
      <c r="O9" s="137"/>
      <c r="P9" s="137"/>
      <c r="Q9" s="137"/>
      <c r="R9" s="137"/>
      <c r="S9" s="138"/>
    </row>
    <row r="10" spans="2:19" ht="17" hidden="1" customHeight="1" x14ac:dyDescent="0.3">
      <c r="B10" s="136"/>
      <c r="C10" s="145"/>
      <c r="D10" s="145"/>
      <c r="E10" s="146"/>
      <c r="F10" s="146"/>
      <c r="G10" s="146"/>
      <c r="H10" s="137"/>
      <c r="I10" s="137"/>
      <c r="J10" s="145"/>
      <c r="K10" s="443" t="s">
        <v>148</v>
      </c>
      <c r="L10" s="443"/>
      <c r="M10" s="149">
        <f>+G96</f>
        <v>0</v>
      </c>
      <c r="O10" s="137"/>
      <c r="P10" s="137"/>
      <c r="Q10" s="137"/>
      <c r="R10" s="137"/>
      <c r="S10" s="138"/>
    </row>
    <row r="11" spans="2:19" ht="17" hidden="1" customHeight="1" x14ac:dyDescent="0.3">
      <c r="B11" s="136"/>
      <c r="C11" s="144"/>
      <c r="D11" s="145"/>
      <c r="E11" s="146"/>
      <c r="F11" s="146"/>
      <c r="G11" s="146"/>
      <c r="H11" s="137"/>
      <c r="I11" s="137"/>
      <c r="J11" s="145"/>
      <c r="K11" s="443" t="s">
        <v>120</v>
      </c>
      <c r="L11" s="443"/>
      <c r="M11" s="150" t="e">
        <f>+#REF!</f>
        <v>#REF!</v>
      </c>
      <c r="O11" s="137"/>
      <c r="P11" s="137"/>
      <c r="Q11" s="137"/>
      <c r="R11" s="137"/>
      <c r="S11" s="138"/>
    </row>
    <row r="12" spans="2:19" ht="17" hidden="1" customHeight="1" x14ac:dyDescent="0.3">
      <c r="B12" s="136"/>
      <c r="C12" s="145"/>
      <c r="D12" s="145"/>
      <c r="E12" s="146"/>
      <c r="F12" s="146"/>
      <c r="G12" s="146"/>
      <c r="H12" s="137"/>
      <c r="I12" s="137"/>
      <c r="J12" s="145"/>
      <c r="K12" s="443" t="s">
        <v>133</v>
      </c>
      <c r="L12" s="443"/>
      <c r="M12" s="151">
        <f>+D15+D16+D17+D18</f>
        <v>0</v>
      </c>
      <c r="O12" s="137"/>
      <c r="P12" s="137"/>
      <c r="Q12" s="137"/>
      <c r="R12" s="137"/>
      <c r="S12" s="138"/>
    </row>
    <row r="13" spans="2:19" ht="17" hidden="1" customHeight="1" x14ac:dyDescent="0.3">
      <c r="B13" s="152"/>
      <c r="C13" s="153"/>
      <c r="D13" s="154"/>
      <c r="E13" s="155"/>
      <c r="F13" s="155"/>
      <c r="G13" s="155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6"/>
    </row>
    <row r="14" spans="2:19" ht="17" hidden="1" customHeight="1" x14ac:dyDescent="0.3">
      <c r="B14" s="435" t="s">
        <v>15</v>
      </c>
      <c r="C14" s="436"/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  <c r="Q14" s="436"/>
      <c r="R14" s="436"/>
      <c r="S14" s="444"/>
    </row>
    <row r="15" spans="2:19" ht="21" hidden="1" customHeight="1" x14ac:dyDescent="0.3">
      <c r="B15" s="157" t="s">
        <v>6</v>
      </c>
      <c r="C15" s="158" t="s">
        <v>8</v>
      </c>
      <c r="D15" s="159">
        <f>+K15+P15</f>
        <v>0</v>
      </c>
      <c r="E15" s="159"/>
      <c r="F15" s="159"/>
      <c r="G15" s="159"/>
      <c r="H15" s="159" t="s">
        <v>11</v>
      </c>
      <c r="I15" s="159"/>
      <c r="J15" s="158" t="s">
        <v>8</v>
      </c>
      <c r="K15" s="159"/>
      <c r="L15" s="160"/>
      <c r="M15" s="160"/>
      <c r="N15" s="161" t="s">
        <v>13</v>
      </c>
      <c r="O15" s="158" t="s">
        <v>8</v>
      </c>
      <c r="P15" s="159"/>
      <c r="Q15" s="160"/>
      <c r="R15" s="159"/>
      <c r="S15" s="162"/>
    </row>
    <row r="16" spans="2:19" ht="21" hidden="1" customHeight="1" x14ac:dyDescent="0.3">
      <c r="B16" s="163"/>
      <c r="C16" s="164" t="s">
        <v>9</v>
      </c>
      <c r="D16" s="165">
        <f>+K16+P16</f>
        <v>0</v>
      </c>
      <c r="E16" s="165"/>
      <c r="F16" s="165"/>
      <c r="G16" s="165"/>
      <c r="H16" s="165"/>
      <c r="I16" s="165"/>
      <c r="J16" s="164" t="s">
        <v>9</v>
      </c>
      <c r="K16" s="165"/>
      <c r="L16" s="153"/>
      <c r="M16" s="153"/>
      <c r="N16" s="166"/>
      <c r="O16" s="164" t="s">
        <v>9</v>
      </c>
      <c r="P16" s="165"/>
      <c r="Q16" s="153"/>
      <c r="R16" s="165"/>
      <c r="S16" s="167"/>
    </row>
    <row r="17" spans="2:24" ht="21" hidden="1" customHeight="1" x14ac:dyDescent="0.3">
      <c r="B17" s="157" t="s">
        <v>7</v>
      </c>
      <c r="C17" s="158" t="s">
        <v>8</v>
      </c>
      <c r="D17" s="159">
        <f>+K17+P17</f>
        <v>0</v>
      </c>
      <c r="E17" s="159"/>
      <c r="F17" s="159"/>
      <c r="G17" s="159"/>
      <c r="H17" s="159" t="s">
        <v>12</v>
      </c>
      <c r="I17" s="159"/>
      <c r="J17" s="158" t="s">
        <v>8</v>
      </c>
      <c r="K17" s="159"/>
      <c r="L17" s="160"/>
      <c r="M17" s="160"/>
      <c r="N17" s="161" t="s">
        <v>14</v>
      </c>
      <c r="O17" s="158" t="s">
        <v>8</v>
      </c>
      <c r="P17" s="159"/>
      <c r="Q17" s="160"/>
      <c r="R17" s="159"/>
      <c r="S17" s="162"/>
    </row>
    <row r="18" spans="2:24" ht="21" hidden="1" customHeight="1" x14ac:dyDescent="0.3">
      <c r="B18" s="163"/>
      <c r="C18" s="164" t="s">
        <v>9</v>
      </c>
      <c r="D18" s="165">
        <f>+K18+P18</f>
        <v>0</v>
      </c>
      <c r="E18" s="165"/>
      <c r="F18" s="165"/>
      <c r="G18" s="165"/>
      <c r="H18" s="165"/>
      <c r="I18" s="165"/>
      <c r="J18" s="164" t="s">
        <v>9</v>
      </c>
      <c r="K18" s="165"/>
      <c r="L18" s="153"/>
      <c r="M18" s="153"/>
      <c r="N18" s="166"/>
      <c r="O18" s="164" t="s">
        <v>9</v>
      </c>
      <c r="P18" s="165"/>
      <c r="Q18" s="153"/>
      <c r="R18" s="165"/>
      <c r="S18" s="167"/>
    </row>
    <row r="19" spans="2:24" ht="17" customHeight="1" x14ac:dyDescent="0.3">
      <c r="B19" s="168" t="s">
        <v>158</v>
      </c>
      <c r="C19" s="63" t="s">
        <v>177</v>
      </c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70"/>
    </row>
    <row r="20" spans="2:24" ht="80.400000000000006" customHeight="1" x14ac:dyDescent="0.3">
      <c r="B20" s="63" t="s">
        <v>3</v>
      </c>
      <c r="C20" s="63" t="s">
        <v>2</v>
      </c>
      <c r="D20" s="63" t="s">
        <v>5</v>
      </c>
      <c r="E20" s="63" t="s">
        <v>22</v>
      </c>
      <c r="F20" s="63" t="s">
        <v>139</v>
      </c>
      <c r="G20" s="63" t="s">
        <v>29</v>
      </c>
      <c r="H20" s="63" t="s">
        <v>121</v>
      </c>
      <c r="I20" s="63" t="s">
        <v>4</v>
      </c>
      <c r="J20" s="64" t="s">
        <v>122</v>
      </c>
      <c r="K20" s="64" t="s">
        <v>131</v>
      </c>
      <c r="L20" s="171" t="s">
        <v>123</v>
      </c>
      <c r="M20" s="63" t="s">
        <v>134</v>
      </c>
      <c r="N20" s="64" t="s">
        <v>24</v>
      </c>
      <c r="O20" s="64" t="s">
        <v>130</v>
      </c>
      <c r="P20" s="63" t="s">
        <v>159</v>
      </c>
      <c r="Q20" s="63" t="s">
        <v>121</v>
      </c>
      <c r="R20" s="63" t="s">
        <v>4</v>
      </c>
      <c r="S20" s="64" t="s">
        <v>137</v>
      </c>
      <c r="U20" s="63" t="s">
        <v>109</v>
      </c>
      <c r="V20" s="64" t="s">
        <v>87</v>
      </c>
      <c r="W20" s="64" t="s">
        <v>128</v>
      </c>
      <c r="X20" s="64" t="s">
        <v>62</v>
      </c>
    </row>
    <row r="21" spans="2:24" ht="42.65" customHeight="1" x14ac:dyDescent="0.3">
      <c r="B21" s="172">
        <v>3500</v>
      </c>
      <c r="C21" s="173" t="str">
        <f>+Datos!$R$2</f>
        <v>Ciclo Minero 10,0 x 7,2 m
Galería Inyección Principal</v>
      </c>
      <c r="D21" s="173"/>
      <c r="E21" s="172"/>
      <c r="F21" s="172"/>
      <c r="G21" s="172"/>
      <c r="H21" s="174"/>
      <c r="I21" s="174"/>
      <c r="J21" s="175">
        <f t="shared" ref="J21:J24" si="0">MOD(I21-H21, 1)</f>
        <v>0</v>
      </c>
      <c r="K21" s="178"/>
      <c r="L21" s="177"/>
      <c r="M21" s="178"/>
      <c r="N21" s="179">
        <v>1</v>
      </c>
      <c r="O21" s="186"/>
      <c r="P21" s="173"/>
      <c r="Q21" s="174"/>
      <c r="R21" s="174"/>
      <c r="S21" s="175">
        <f>+MOD(R21-Q21,1)</f>
        <v>0</v>
      </c>
      <c r="U21" s="182">
        <f>+IFERROR(VLOOKUP(D21,Datos!$R$3:$T$19,3,FALSE), "0")*N21</f>
        <v>0</v>
      </c>
      <c r="V21" s="183" t="str">
        <f>IF(OR(D21="Perforación de Fortificación", D21="Perforación de Avance", D21="Perforación Desquinche"), K21*M21, "")</f>
        <v/>
      </c>
      <c r="W21" s="183" t="str">
        <f>IF(D21="Extracción de Marina Disparo",K21,"")</f>
        <v/>
      </c>
      <c r="X21" s="183" t="str">
        <f>IF(OR(D21="Shotcrete", D21="Pre Shotcrete"), K21, "")</f>
        <v/>
      </c>
    </row>
    <row r="22" spans="2:24" ht="38" customHeight="1" x14ac:dyDescent="0.3">
      <c r="B22" s="172">
        <v>3500</v>
      </c>
      <c r="C22" s="173" t="str">
        <f>+Datos!$R$2</f>
        <v>Ciclo Minero 10,0 x 7,2 m
Galería Inyección Principal</v>
      </c>
      <c r="D22" s="173"/>
      <c r="E22" s="172"/>
      <c r="F22" s="172"/>
      <c r="G22" s="172"/>
      <c r="H22" s="174"/>
      <c r="I22" s="174"/>
      <c r="J22" s="175">
        <f t="shared" si="0"/>
        <v>0</v>
      </c>
      <c r="K22" s="178"/>
      <c r="L22" s="177"/>
      <c r="M22" s="178"/>
      <c r="N22" s="179">
        <v>0</v>
      </c>
      <c r="O22" s="186"/>
      <c r="P22" s="181"/>
      <c r="Q22" s="174"/>
      <c r="R22" s="172"/>
      <c r="S22" s="175">
        <f t="shared" ref="S22:S26" si="1">+MOD(R22-Q22,1)</f>
        <v>0</v>
      </c>
      <c r="U22" s="182">
        <f>+IFERROR(VLOOKUP(D22,Datos!$R$3:$T$19,3,FALSE), "0")*N22</f>
        <v>0</v>
      </c>
      <c r="V22" s="183" t="str">
        <f t="shared" ref="V22:V26" si="2">IF(OR(D22="Perforación de Fortificación", D22="Perforación de Avance", D22="Perforación Desquinche"), K22*M22, "")</f>
        <v/>
      </c>
      <c r="W22" s="183" t="str">
        <f t="shared" ref="W22:W26" si="3">IF(D22="Extracción de Marina Disparo",K22,"")</f>
        <v/>
      </c>
      <c r="X22" s="183" t="str">
        <f t="shared" ref="X22:X26" si="4">IF(OR(D22="Shotcrete", D22="Pre Shotcrete"), K22, "")</f>
        <v/>
      </c>
    </row>
    <row r="23" spans="2:24" ht="38" customHeight="1" x14ac:dyDescent="0.3">
      <c r="B23" s="172">
        <v>3500</v>
      </c>
      <c r="C23" s="173" t="str">
        <f>+Datos!$R$2</f>
        <v>Ciclo Minero 10,0 x 7,2 m
Galería Inyección Principal</v>
      </c>
      <c r="D23" s="173"/>
      <c r="E23" s="172"/>
      <c r="F23" s="172"/>
      <c r="G23" s="172"/>
      <c r="H23" s="174"/>
      <c r="I23" s="174"/>
      <c r="J23" s="175">
        <f t="shared" si="0"/>
        <v>0</v>
      </c>
      <c r="K23" s="178"/>
      <c r="L23" s="177"/>
      <c r="M23" s="178"/>
      <c r="N23" s="179">
        <v>0</v>
      </c>
      <c r="O23" s="186"/>
      <c r="P23" s="181"/>
      <c r="Q23" s="174"/>
      <c r="R23" s="172"/>
      <c r="S23" s="175">
        <f t="shared" si="1"/>
        <v>0</v>
      </c>
      <c r="U23" s="182">
        <f>+IFERROR(VLOOKUP(D23,Datos!$R$3:$T$19,3,FALSE), "0")*N23</f>
        <v>0</v>
      </c>
      <c r="V23" s="183" t="str">
        <f t="shared" si="2"/>
        <v/>
      </c>
      <c r="W23" s="183" t="str">
        <f t="shared" si="3"/>
        <v/>
      </c>
      <c r="X23" s="183" t="str">
        <f t="shared" si="4"/>
        <v/>
      </c>
    </row>
    <row r="24" spans="2:24" ht="38" customHeight="1" x14ac:dyDescent="0.3">
      <c r="B24" s="172">
        <v>3500</v>
      </c>
      <c r="C24" s="173" t="str">
        <f>+Datos!$R$2</f>
        <v>Ciclo Minero 10,0 x 7,2 m
Galería Inyección Principal</v>
      </c>
      <c r="D24" s="173"/>
      <c r="E24" s="172"/>
      <c r="F24" s="172"/>
      <c r="G24" s="172"/>
      <c r="H24" s="174"/>
      <c r="I24" s="174"/>
      <c r="J24" s="175">
        <f t="shared" si="0"/>
        <v>0</v>
      </c>
      <c r="K24" s="178"/>
      <c r="L24" s="177"/>
      <c r="M24" s="178"/>
      <c r="N24" s="179">
        <v>0</v>
      </c>
      <c r="O24" s="186"/>
      <c r="P24" s="181"/>
      <c r="Q24" s="174"/>
      <c r="R24" s="172"/>
      <c r="S24" s="175">
        <f t="shared" si="1"/>
        <v>0</v>
      </c>
      <c r="U24" s="182">
        <f>+IFERROR(VLOOKUP(D24,Datos!$R$3:$T$19,3,FALSE), "0")*N24</f>
        <v>0</v>
      </c>
      <c r="V24" s="183" t="str">
        <f t="shared" si="2"/>
        <v/>
      </c>
      <c r="W24" s="183" t="str">
        <f t="shared" si="3"/>
        <v/>
      </c>
      <c r="X24" s="183" t="str">
        <f t="shared" si="4"/>
        <v/>
      </c>
    </row>
    <row r="25" spans="2:24" ht="38" customHeight="1" x14ac:dyDescent="0.3">
      <c r="B25" s="172"/>
      <c r="C25" s="173"/>
      <c r="D25" s="173"/>
      <c r="E25" s="172"/>
      <c r="F25" s="172"/>
      <c r="G25" s="172"/>
      <c r="H25" s="174"/>
      <c r="I25" s="174"/>
      <c r="J25" s="175"/>
      <c r="K25" s="178"/>
      <c r="L25" s="177"/>
      <c r="M25" s="178"/>
      <c r="N25" s="179"/>
      <c r="O25" s="186"/>
      <c r="P25" s="181"/>
      <c r="Q25" s="174"/>
      <c r="R25" s="172"/>
      <c r="S25" s="175">
        <f t="shared" si="1"/>
        <v>0</v>
      </c>
      <c r="U25" s="182">
        <f>+IFERROR(VLOOKUP(D25,Datos!$R$3:$T$19,3,FALSE), "0")*N25</f>
        <v>0</v>
      </c>
      <c r="V25" s="183" t="str">
        <f t="shared" si="2"/>
        <v/>
      </c>
      <c r="W25" s="183" t="str">
        <f t="shared" si="3"/>
        <v/>
      </c>
      <c r="X25" s="183" t="str">
        <f t="shared" si="4"/>
        <v/>
      </c>
    </row>
    <row r="26" spans="2:24" ht="38" customHeight="1" x14ac:dyDescent="0.3">
      <c r="B26" s="172"/>
      <c r="C26" s="173"/>
      <c r="D26" s="173"/>
      <c r="E26" s="172"/>
      <c r="F26" s="172"/>
      <c r="G26" s="172"/>
      <c r="H26" s="174"/>
      <c r="I26" s="174" t="s">
        <v>329</v>
      </c>
      <c r="J26" s="175">
        <f>MOD(I24-H21, 1)</f>
        <v>0</v>
      </c>
      <c r="K26" s="178"/>
      <c r="L26" s="177"/>
      <c r="M26" s="178"/>
      <c r="N26" s="179"/>
      <c r="O26" s="390" t="s">
        <v>543</v>
      </c>
      <c r="P26" s="172"/>
      <c r="Q26" s="172"/>
      <c r="R26" s="172"/>
      <c r="S26" s="175">
        <f t="shared" si="1"/>
        <v>0</v>
      </c>
      <c r="U26" s="182">
        <f>SUM(U21:U23)</f>
        <v>0</v>
      </c>
      <c r="V26" s="183" t="str">
        <f t="shared" si="2"/>
        <v/>
      </c>
      <c r="W26" s="183" t="str">
        <f t="shared" si="3"/>
        <v/>
      </c>
      <c r="X26" s="183" t="str">
        <f t="shared" si="4"/>
        <v/>
      </c>
    </row>
    <row r="27" spans="2:24" x14ac:dyDescent="0.3">
      <c r="B27" s="185" t="s">
        <v>158</v>
      </c>
      <c r="C27" s="63" t="s">
        <v>194</v>
      </c>
      <c r="D27" s="63"/>
      <c r="E27" s="63"/>
      <c r="F27" s="63"/>
      <c r="G27" s="63"/>
      <c r="H27" s="63"/>
      <c r="I27" s="63"/>
      <c r="J27" s="64"/>
      <c r="K27" s="64"/>
      <c r="L27" s="171"/>
      <c r="M27" s="63"/>
      <c r="N27" s="64"/>
      <c r="O27" s="64"/>
      <c r="P27" s="63"/>
      <c r="Q27" s="63"/>
      <c r="R27" s="63"/>
      <c r="S27" s="64"/>
      <c r="U27" s="63"/>
      <c r="V27" s="64"/>
      <c r="W27" s="64"/>
      <c r="X27" s="64"/>
    </row>
    <row r="28" spans="2:24" ht="52" x14ac:dyDescent="0.3">
      <c r="B28" s="63" t="s">
        <v>3</v>
      </c>
      <c r="C28" s="63" t="s">
        <v>2</v>
      </c>
      <c r="D28" s="63" t="s">
        <v>5</v>
      </c>
      <c r="E28" s="63" t="s">
        <v>22</v>
      </c>
      <c r="F28" s="63" t="s">
        <v>139</v>
      </c>
      <c r="G28" s="63" t="s">
        <v>29</v>
      </c>
      <c r="H28" s="63" t="s">
        <v>121</v>
      </c>
      <c r="I28" s="63" t="s">
        <v>4</v>
      </c>
      <c r="J28" s="64" t="s">
        <v>122</v>
      </c>
      <c r="K28" s="64" t="s">
        <v>131</v>
      </c>
      <c r="L28" s="171" t="s">
        <v>123</v>
      </c>
      <c r="M28" s="63" t="s">
        <v>134</v>
      </c>
      <c r="N28" s="64" t="s">
        <v>24</v>
      </c>
      <c r="O28" s="64" t="s">
        <v>130</v>
      </c>
      <c r="P28" s="63" t="s">
        <v>132</v>
      </c>
      <c r="Q28" s="63" t="s">
        <v>121</v>
      </c>
      <c r="R28" s="63" t="s">
        <v>4</v>
      </c>
      <c r="S28" s="64" t="s">
        <v>137</v>
      </c>
      <c r="U28" s="63" t="s">
        <v>109</v>
      </c>
      <c r="V28" s="64" t="s">
        <v>87</v>
      </c>
      <c r="W28" s="64" t="s">
        <v>128</v>
      </c>
      <c r="X28" s="64" t="s">
        <v>128</v>
      </c>
    </row>
    <row r="29" spans="2:24" ht="38" customHeight="1" x14ac:dyDescent="0.3">
      <c r="B29" s="172">
        <v>3700</v>
      </c>
      <c r="C29" s="173" t="str">
        <f>+Datos!$R$23</f>
        <v>Ciclo Minero 5,2 x 5,6 m
Galería Acceso Portal de Servicio</v>
      </c>
      <c r="D29" s="173" t="s">
        <v>110</v>
      </c>
      <c r="E29" s="172" t="s">
        <v>6</v>
      </c>
      <c r="F29" s="172" t="s">
        <v>166</v>
      </c>
      <c r="G29" s="172"/>
      <c r="H29" s="174">
        <v>0.83333333333333337</v>
      </c>
      <c r="I29" s="174">
        <v>1.3333333333333333</v>
      </c>
      <c r="J29" s="175">
        <f>I29-H29</f>
        <v>0.49999999999999989</v>
      </c>
      <c r="K29" s="178"/>
      <c r="L29" s="177"/>
      <c r="M29" s="178"/>
      <c r="N29" s="179">
        <v>1</v>
      </c>
      <c r="O29" s="186" t="s">
        <v>428</v>
      </c>
      <c r="P29" s="225"/>
      <c r="Q29" s="174"/>
      <c r="R29" s="174"/>
      <c r="S29" s="175"/>
      <c r="U29" s="187">
        <f>+IFERROR(VLOOKUP(D29,Datos!$R$24:$T$40,3,FALSE), "0")*N29</f>
        <v>0</v>
      </c>
      <c r="V29" s="183" t="str">
        <f t="shared" ref="V29:V37" si="5">IF(OR(D29="Perforación de Fortificación", D29="Perforación de Avance", D29="Perforación Desquinche"), K29*M29, "")</f>
        <v/>
      </c>
      <c r="W29" s="183" t="str">
        <f>IF(D29="Extracción de Marina Disparo",K29,"")</f>
        <v/>
      </c>
      <c r="X29" s="183" t="str">
        <f t="shared" ref="X29:X37" si="6">IF(OR(D29="Shotcrete", D29="Pre Shotcrete"), K29, "")</f>
        <v/>
      </c>
    </row>
    <row r="30" spans="2:24" ht="38" customHeight="1" x14ac:dyDescent="0.3">
      <c r="B30" s="172">
        <v>3700</v>
      </c>
      <c r="C30" s="173" t="str">
        <f>+Datos!$R$23</f>
        <v>Ciclo Minero 5,2 x 5,6 m
Galería Acceso Portal de Servicio</v>
      </c>
      <c r="D30" s="173"/>
      <c r="E30" s="172"/>
      <c r="F30" s="172"/>
      <c r="G30" s="172"/>
      <c r="H30" s="174"/>
      <c r="I30" s="174"/>
      <c r="J30" s="175"/>
      <c r="K30" s="178"/>
      <c r="L30" s="177"/>
      <c r="M30" s="178"/>
      <c r="N30" s="179"/>
      <c r="O30" s="225"/>
      <c r="P30" s="173"/>
      <c r="Q30" s="174"/>
      <c r="R30" s="174"/>
      <c r="S30" s="175"/>
      <c r="U30" s="187">
        <f>+IFERROR(VLOOKUP(D30,Datos!$R$24:$T$40,3,FALSE), "0")*N30</f>
        <v>0</v>
      </c>
      <c r="V30" s="183" t="str">
        <f t="shared" si="5"/>
        <v/>
      </c>
      <c r="W30" s="183" t="str">
        <f>IF(D30="Extracción de Marina Disparo",K30,"")</f>
        <v/>
      </c>
      <c r="X30" s="183" t="str">
        <f t="shared" si="6"/>
        <v/>
      </c>
    </row>
    <row r="31" spans="2:24" ht="53.4" customHeight="1" x14ac:dyDescent="0.3">
      <c r="B31" s="172">
        <v>3700</v>
      </c>
      <c r="C31" s="173" t="str">
        <f>+C29</f>
        <v>Ciclo Minero 5,2 x 5,6 m
Galería Acceso Portal de Servicio</v>
      </c>
      <c r="D31" s="173"/>
      <c r="E31" s="172"/>
      <c r="F31" s="172"/>
      <c r="G31" s="172"/>
      <c r="H31" s="174"/>
      <c r="I31" s="174"/>
      <c r="J31" s="175"/>
      <c r="K31" s="178"/>
      <c r="L31" s="177"/>
      <c r="M31" s="178"/>
      <c r="N31" s="179"/>
      <c r="O31" s="225"/>
      <c r="P31" s="181"/>
      <c r="Q31" s="174"/>
      <c r="R31" s="174"/>
      <c r="S31" s="175"/>
      <c r="U31" s="187">
        <f>+IFERROR(VLOOKUP(D31,Datos!$R$24:$T$40,3,FALSE), "0")*N31</f>
        <v>0</v>
      </c>
      <c r="V31" s="183" t="str">
        <f t="shared" si="5"/>
        <v/>
      </c>
      <c r="W31" s="183" t="str">
        <f t="shared" ref="W31:W37" si="7">IF(D31="Extracción de Marina Disparo",K31,"")</f>
        <v/>
      </c>
      <c r="X31" s="183" t="str">
        <f t="shared" si="6"/>
        <v/>
      </c>
    </row>
    <row r="32" spans="2:24" ht="38" customHeight="1" x14ac:dyDescent="0.3">
      <c r="B32" s="172">
        <v>3700</v>
      </c>
      <c r="C32" s="173" t="str">
        <f>+C30</f>
        <v>Ciclo Minero 5,2 x 5,6 m
Galería Acceso Portal de Servicio</v>
      </c>
      <c r="D32" s="173"/>
      <c r="E32" s="172"/>
      <c r="F32" s="172"/>
      <c r="G32" s="172"/>
      <c r="H32" s="174"/>
      <c r="I32" s="174"/>
      <c r="J32" s="175"/>
      <c r="K32" s="178"/>
      <c r="L32" s="177"/>
      <c r="M32" s="178"/>
      <c r="N32" s="179"/>
      <c r="O32" s="186"/>
      <c r="P32" s="172"/>
      <c r="Q32" s="172"/>
      <c r="R32" s="172"/>
      <c r="S32" s="175"/>
      <c r="U32" s="187">
        <f>+IFERROR(VLOOKUP(D32,Datos!$R$24:$T$40,3,FALSE), "0")*N32</f>
        <v>0</v>
      </c>
      <c r="V32" s="183" t="str">
        <f t="shared" si="5"/>
        <v/>
      </c>
      <c r="W32" s="183" t="str">
        <f t="shared" si="7"/>
        <v/>
      </c>
      <c r="X32" s="183"/>
    </row>
    <row r="33" spans="2:24" ht="38" customHeight="1" x14ac:dyDescent="0.3">
      <c r="B33" s="172">
        <v>3700</v>
      </c>
      <c r="C33" s="173" t="str">
        <f>+C31</f>
        <v>Ciclo Minero 5,2 x 5,6 m
Galería Acceso Portal de Servicio</v>
      </c>
      <c r="D33" s="173"/>
      <c r="E33" s="172"/>
      <c r="F33" s="172"/>
      <c r="G33" s="172"/>
      <c r="H33" s="174"/>
      <c r="I33" s="174"/>
      <c r="J33" s="175"/>
      <c r="K33" s="178"/>
      <c r="L33" s="177"/>
      <c r="M33" s="178"/>
      <c r="N33" s="179"/>
      <c r="O33" s="186"/>
      <c r="P33" s="181"/>
      <c r="Q33" s="174"/>
      <c r="R33" s="174"/>
      <c r="S33" s="175"/>
      <c r="U33" s="187">
        <f>+IFERROR(VLOOKUP(D33,Datos!$R$24:$T$40,3,FALSE), "0")*N33</f>
        <v>0</v>
      </c>
      <c r="V33" s="183" t="str">
        <f t="shared" si="5"/>
        <v/>
      </c>
      <c r="W33" s="183" t="str">
        <f t="shared" si="7"/>
        <v/>
      </c>
      <c r="X33" s="183" t="str">
        <f t="shared" si="6"/>
        <v/>
      </c>
    </row>
    <row r="34" spans="2:24" ht="38" customHeight="1" x14ac:dyDescent="0.3">
      <c r="B34" s="172"/>
      <c r="C34" s="173"/>
      <c r="D34" s="173"/>
      <c r="E34" s="172"/>
      <c r="F34" s="172"/>
      <c r="G34" s="172"/>
      <c r="H34" s="174"/>
      <c r="I34" s="174"/>
      <c r="J34" s="175">
        <f>MOD(I34-H34, 1)</f>
        <v>0</v>
      </c>
      <c r="K34" s="178"/>
      <c r="L34" s="177"/>
      <c r="M34" s="178"/>
      <c r="N34" s="179"/>
      <c r="O34" s="225"/>
      <c r="P34" s="172"/>
      <c r="Q34" s="172"/>
      <c r="R34" s="172"/>
      <c r="S34" s="175">
        <f t="shared" ref="S34:S37" si="8">+MOD(R34-Q34,1)</f>
        <v>0</v>
      </c>
      <c r="U34" s="187">
        <f>+IFERROR(VLOOKUP(D34,Datos!$R$24:$T$40,3,FALSE), "0")*N34</f>
        <v>0</v>
      </c>
      <c r="V34" s="183" t="str">
        <f t="shared" si="5"/>
        <v/>
      </c>
      <c r="W34" s="183" t="str">
        <f t="shared" si="7"/>
        <v/>
      </c>
      <c r="X34" s="183" t="str">
        <f t="shared" si="6"/>
        <v/>
      </c>
    </row>
    <row r="35" spans="2:24" ht="38" customHeight="1" x14ac:dyDescent="0.3">
      <c r="B35" s="172"/>
      <c r="C35" s="173"/>
      <c r="D35" s="173"/>
      <c r="E35" s="172"/>
      <c r="F35" s="172"/>
      <c r="G35" s="172"/>
      <c r="H35" s="174"/>
      <c r="I35" s="174"/>
      <c r="J35" s="175">
        <f>MOD(I35-H35, 1)</f>
        <v>0</v>
      </c>
      <c r="K35" s="178"/>
      <c r="L35" s="177"/>
      <c r="M35" s="178"/>
      <c r="N35" s="179"/>
      <c r="O35" s="186"/>
      <c r="P35" s="172"/>
      <c r="Q35" s="172"/>
      <c r="R35" s="172"/>
      <c r="S35" s="175">
        <f t="shared" si="8"/>
        <v>0</v>
      </c>
      <c r="U35" s="187"/>
      <c r="V35" s="183" t="str">
        <f t="shared" si="5"/>
        <v/>
      </c>
      <c r="W35" s="183" t="str">
        <f t="shared" si="7"/>
        <v/>
      </c>
      <c r="X35" s="183" t="str">
        <f t="shared" si="6"/>
        <v/>
      </c>
    </row>
    <row r="36" spans="2:24" ht="38" customHeight="1" x14ac:dyDescent="0.3">
      <c r="B36" s="172"/>
      <c r="C36" s="173"/>
      <c r="D36" s="173"/>
      <c r="E36" s="172"/>
      <c r="F36" s="172"/>
      <c r="G36" s="172"/>
      <c r="H36" s="174"/>
      <c r="I36" s="174"/>
      <c r="J36" s="175">
        <f>MOD(I36-H36, 1)</f>
        <v>0</v>
      </c>
      <c r="K36" s="178"/>
      <c r="L36" s="177"/>
      <c r="M36" s="178"/>
      <c r="N36" s="179"/>
      <c r="O36" s="186"/>
      <c r="P36" s="172"/>
      <c r="Q36" s="172"/>
      <c r="R36" s="172"/>
      <c r="S36" s="175">
        <f t="shared" si="8"/>
        <v>0</v>
      </c>
      <c r="U36" s="187"/>
      <c r="V36" s="183" t="str">
        <f t="shared" si="5"/>
        <v/>
      </c>
      <c r="W36" s="183" t="str">
        <f t="shared" si="7"/>
        <v/>
      </c>
      <c r="X36" s="183" t="str">
        <f t="shared" si="6"/>
        <v/>
      </c>
    </row>
    <row r="37" spans="2:24" ht="38" customHeight="1" x14ac:dyDescent="0.3">
      <c r="B37" s="172"/>
      <c r="C37" s="173"/>
      <c r="D37" s="173"/>
      <c r="E37" s="172"/>
      <c r="F37" s="172"/>
      <c r="G37" s="172"/>
      <c r="H37" s="174"/>
      <c r="I37" s="174" t="s">
        <v>329</v>
      </c>
      <c r="J37" s="175">
        <v>0</v>
      </c>
      <c r="K37" s="178"/>
      <c r="L37" s="177"/>
      <c r="M37" s="178"/>
      <c r="N37" s="179"/>
      <c r="O37" s="390" t="s">
        <v>543</v>
      </c>
      <c r="P37" s="172"/>
      <c r="Q37" s="172"/>
      <c r="R37" s="172"/>
      <c r="S37" s="175">
        <f t="shared" si="8"/>
        <v>0</v>
      </c>
      <c r="U37" s="182">
        <f>SUM(U29:U36)</f>
        <v>0</v>
      </c>
      <c r="V37" s="183" t="str">
        <f t="shared" si="5"/>
        <v/>
      </c>
      <c r="W37" s="183" t="str">
        <f t="shared" si="7"/>
        <v/>
      </c>
      <c r="X37" s="183" t="str">
        <f t="shared" si="6"/>
        <v/>
      </c>
    </row>
    <row r="38" spans="2:24" ht="15.65" customHeight="1" thickBot="1" x14ac:dyDescent="0.35">
      <c r="B38" s="190"/>
      <c r="C38" s="190"/>
      <c r="D38" s="190"/>
      <c r="E38" s="190"/>
      <c r="F38" s="190"/>
      <c r="G38" s="190"/>
      <c r="H38" s="190"/>
      <c r="J38" s="190"/>
      <c r="K38" s="190"/>
      <c r="L38" s="190"/>
      <c r="M38" s="190"/>
      <c r="N38" s="190"/>
      <c r="O38" s="190"/>
      <c r="P38" s="190"/>
      <c r="Q38" s="190"/>
      <c r="R38" s="190"/>
      <c r="S38" s="190"/>
    </row>
    <row r="39" spans="2:24" ht="30" customHeight="1" thickBot="1" x14ac:dyDescent="0.35">
      <c r="B39" s="191"/>
      <c r="C39" s="446" t="s">
        <v>64</v>
      </c>
      <c r="D39" s="446"/>
      <c r="E39" s="192"/>
      <c r="F39" s="192"/>
      <c r="G39" s="431">
        <v>3500</v>
      </c>
      <c r="H39" s="432"/>
      <c r="I39" s="431">
        <v>3700</v>
      </c>
      <c r="J39" s="432"/>
      <c r="K39" s="433" t="s">
        <v>146</v>
      </c>
      <c r="L39" s="434"/>
      <c r="M39" s="190"/>
      <c r="N39" s="190"/>
      <c r="O39" s="190"/>
      <c r="P39" s="190"/>
      <c r="Q39" s="190"/>
      <c r="R39" s="190"/>
      <c r="S39" s="190"/>
    </row>
    <row r="40" spans="2:24" ht="30" customHeight="1" x14ac:dyDescent="0.3">
      <c r="C40" s="194" t="s">
        <v>48</v>
      </c>
      <c r="D40" s="195">
        <f>SUMPRODUCT((LEFT(F21:F34, 1)="C") / (COUNTIF(F21:F34, F21:F34 &amp; "") + (F21:F34="")))</f>
        <v>0</v>
      </c>
      <c r="E40" s="447" t="s">
        <v>90</v>
      </c>
      <c r="F40" s="447"/>
      <c r="G40" s="196">
        <v>0.26041666666666669</v>
      </c>
      <c r="H40" s="197" t="s">
        <v>23</v>
      </c>
      <c r="I40" s="196">
        <v>0.26041666666666669</v>
      </c>
      <c r="J40" s="197" t="s">
        <v>23</v>
      </c>
      <c r="K40" s="198">
        <f>+G40</f>
        <v>0.26041666666666669</v>
      </c>
      <c r="L40" s="197" t="s">
        <v>23</v>
      </c>
      <c r="M40" s="190"/>
      <c r="N40" s="190"/>
      <c r="O40" s="190"/>
      <c r="P40" s="190"/>
      <c r="Q40" s="190"/>
      <c r="R40" s="190"/>
      <c r="S40" s="190"/>
    </row>
    <row r="41" spans="2:24" x14ac:dyDescent="0.3">
      <c r="C41" s="194" t="s">
        <v>49</v>
      </c>
      <c r="D41" s="195">
        <f>SUMPRODUCT((LEFT(F21:F34, 1)="O") / (COUNTIF(F21:F34, F21:F34 &amp; "") + (F21:F34="")))</f>
        <v>0</v>
      </c>
      <c r="E41" s="448" t="s">
        <v>198</v>
      </c>
      <c r="F41" s="448"/>
      <c r="G41" s="199">
        <f>SUM(J21:J23)</f>
        <v>0</v>
      </c>
      <c r="H41" s="200">
        <f>+G41*24/($G$40*24)</f>
        <v>0</v>
      </c>
      <c r="I41" s="199">
        <f>SUM(J29:J34)</f>
        <v>0.49999999999999989</v>
      </c>
      <c r="J41" s="200">
        <f>+I41*24/($I$40*24)</f>
        <v>1.9199999999999995</v>
      </c>
      <c r="K41" s="201">
        <f>AVERAGE(G41+I41)/2</f>
        <v>0.24999999999999994</v>
      </c>
      <c r="L41" s="200">
        <f>+K41*24/($K$40*24)</f>
        <v>0.95999999999999974</v>
      </c>
      <c r="M41" s="190"/>
      <c r="N41" s="190"/>
      <c r="O41" s="190"/>
      <c r="P41" s="190"/>
      <c r="Q41" s="190"/>
      <c r="R41" s="190"/>
      <c r="S41" s="190"/>
    </row>
    <row r="42" spans="2:24" ht="43.25" customHeight="1" thickBot="1" x14ac:dyDescent="0.35">
      <c r="E42" s="448" t="s">
        <v>94</v>
      </c>
      <c r="F42" s="448"/>
      <c r="G42" s="202"/>
      <c r="H42" s="203">
        <f>+AVERAGE(N21:N26)</f>
        <v>0.25</v>
      </c>
      <c r="I42" s="202"/>
      <c r="J42" s="203">
        <f>+AVERAGE(N29:N34)</f>
        <v>1</v>
      </c>
      <c r="K42" s="204"/>
      <c r="L42" s="203">
        <f>+AVERAGE(N21:N34)</f>
        <v>0.4</v>
      </c>
    </row>
    <row r="43" spans="2:24" ht="43.25" customHeight="1" x14ac:dyDescent="0.3">
      <c r="E43" s="205"/>
      <c r="F43" s="205"/>
      <c r="G43" s="206"/>
      <c r="H43" s="206"/>
      <c r="I43" s="137"/>
      <c r="J43" s="137"/>
      <c r="K43" s="137"/>
      <c r="L43" s="137"/>
    </row>
    <row r="44" spans="2:24" ht="43.25" customHeight="1" x14ac:dyDescent="0.3">
      <c r="E44" s="194"/>
      <c r="F44" s="194"/>
      <c r="G44" s="207"/>
      <c r="H44" s="208" t="s">
        <v>24</v>
      </c>
      <c r="I44" s="208" t="s">
        <v>199</v>
      </c>
      <c r="J44" s="208" t="s">
        <v>201</v>
      </c>
      <c r="K44" s="208" t="s">
        <v>404</v>
      </c>
      <c r="L44" s="345" t="s">
        <v>484</v>
      </c>
      <c r="M44" s="345" t="s">
        <v>485</v>
      </c>
      <c r="N44" s="208"/>
    </row>
    <row r="45" spans="2:24" ht="14.5" x14ac:dyDescent="0.35">
      <c r="E45" s="445" t="s">
        <v>174</v>
      </c>
      <c r="F45" s="445"/>
      <c r="G45" s="445"/>
      <c r="H45" s="209">
        <f>+U37</f>
        <v>0</v>
      </c>
      <c r="I45" s="298">
        <f>+H45*$J$45*$K$45</f>
        <v>0</v>
      </c>
      <c r="J45" s="298">
        <v>6.6</v>
      </c>
      <c r="K45" s="246">
        <v>3.42</v>
      </c>
      <c r="L45" s="344">
        <v>56.080975609756102</v>
      </c>
      <c r="M45" s="344">
        <f>+L45*K45*H45</f>
        <v>0</v>
      </c>
    </row>
    <row r="46" spans="2:24" ht="14.4" customHeight="1" x14ac:dyDescent="0.35">
      <c r="E46" s="445" t="s">
        <v>224</v>
      </c>
      <c r="F46" s="445"/>
      <c r="G46" s="445"/>
      <c r="H46" s="209"/>
      <c r="I46" s="298">
        <f>+J46*K46</f>
        <v>0</v>
      </c>
      <c r="J46" s="298">
        <f>1892/1000000</f>
        <v>1.892E-3</v>
      </c>
      <c r="K46" s="246">
        <f>+((15*4.4)*2.72)*0</f>
        <v>0</v>
      </c>
      <c r="L46" s="346">
        <v>1.6919982016368774E-2</v>
      </c>
      <c r="M46" s="344">
        <f>+L46*K46</f>
        <v>0</v>
      </c>
    </row>
    <row r="47" spans="2:24" ht="14.4" customHeight="1" x14ac:dyDescent="0.35">
      <c r="E47" s="445" t="s">
        <v>359</v>
      </c>
      <c r="F47" s="445"/>
      <c r="G47" s="445"/>
      <c r="H47" s="209"/>
      <c r="I47" s="298">
        <f>+J47*K47</f>
        <v>0</v>
      </c>
      <c r="J47" s="298">
        <v>0.340368</v>
      </c>
      <c r="K47" s="246">
        <v>0</v>
      </c>
      <c r="L47" s="346">
        <v>2.2358937544867188</v>
      </c>
      <c r="M47" s="344">
        <f>+L47*K47</f>
        <v>0</v>
      </c>
    </row>
    <row r="48" spans="2:24" ht="14.4" customHeight="1" x14ac:dyDescent="0.35">
      <c r="E48" s="445" t="s">
        <v>376</v>
      </c>
      <c r="F48" s="445"/>
      <c r="G48" s="445"/>
      <c r="H48" s="209">
        <v>0</v>
      </c>
      <c r="I48" s="298">
        <f>+H48*$J$48*$K$48</f>
        <v>0</v>
      </c>
      <c r="J48" s="298">
        <f>23683234/1000000</f>
        <v>23.683233999999999</v>
      </c>
      <c r="K48" s="226">
        <v>0</v>
      </c>
      <c r="L48" s="346">
        <v>254.98967741935485</v>
      </c>
      <c r="M48" s="344">
        <f>+L48*K48*H48</f>
        <v>0</v>
      </c>
    </row>
    <row r="49" spans="2:13" ht="14.4" customHeight="1" x14ac:dyDescent="0.35">
      <c r="E49" s="445" t="s">
        <v>236</v>
      </c>
      <c r="F49" s="445"/>
      <c r="G49" s="445"/>
      <c r="H49" s="209"/>
      <c r="I49" s="298">
        <f>+J49*K49</f>
        <v>0</v>
      </c>
      <c r="J49" s="298">
        <f>25508/1000000</f>
        <v>2.5507999999999999E-2</v>
      </c>
      <c r="K49" s="246">
        <f>7/(0.05)*0</f>
        <v>0</v>
      </c>
      <c r="L49" s="347" t="s">
        <v>486</v>
      </c>
      <c r="M49" s="349"/>
    </row>
    <row r="50" spans="2:13" ht="14.4" customHeight="1" x14ac:dyDescent="0.35">
      <c r="E50" s="445" t="s">
        <v>451</v>
      </c>
      <c r="F50" s="445"/>
      <c r="G50" s="445"/>
      <c r="H50" s="209">
        <v>1</v>
      </c>
      <c r="I50" s="298">
        <f>H50*J50</f>
        <v>7.9892054999999997</v>
      </c>
      <c r="J50" s="298">
        <f>15978411/2000000</f>
        <v>7.9892054999999997</v>
      </c>
      <c r="K50" s="246"/>
      <c r="L50" s="347" t="s">
        <v>486</v>
      </c>
      <c r="M50" s="344"/>
    </row>
    <row r="51" spans="2:13" ht="14.4" customHeight="1" x14ac:dyDescent="0.35">
      <c r="E51" s="445" t="s">
        <v>298</v>
      </c>
      <c r="F51" s="445"/>
      <c r="G51" s="445"/>
      <c r="H51" s="209"/>
      <c r="I51" s="210">
        <f>SUM(I45:I50)</f>
        <v>7.9892054999999997</v>
      </c>
      <c r="J51" s="214"/>
      <c r="K51" s="246"/>
      <c r="L51" s="344"/>
      <c r="M51" s="344"/>
    </row>
    <row r="52" spans="2:13" ht="14.4" customHeight="1" x14ac:dyDescent="0.35">
      <c r="E52" s="227"/>
      <c r="F52" s="227"/>
      <c r="G52" s="227"/>
      <c r="H52" s="209"/>
      <c r="I52" s="210"/>
      <c r="J52" s="214"/>
      <c r="K52" s="246"/>
      <c r="L52" s="344"/>
      <c r="M52" s="344"/>
    </row>
    <row r="53" spans="2:13" ht="14.4" customHeight="1" x14ac:dyDescent="0.35">
      <c r="E53" s="445" t="s">
        <v>175</v>
      </c>
      <c r="F53" s="445"/>
      <c r="G53" s="445"/>
      <c r="H53" s="209">
        <f>+U26</f>
        <v>0</v>
      </c>
      <c r="I53" s="210">
        <f>+H53*$J$53*$K$53</f>
        <v>0</v>
      </c>
      <c r="J53" s="211">
        <v>11.8</v>
      </c>
      <c r="K53" s="246">
        <v>4</v>
      </c>
      <c r="L53" s="344">
        <v>118.52055555555555</v>
      </c>
      <c r="M53" s="344">
        <f>+L53*K53*H53</f>
        <v>0</v>
      </c>
    </row>
    <row r="54" spans="2:13" ht="14.4" customHeight="1" x14ac:dyDescent="0.35">
      <c r="E54" s="445" t="s">
        <v>225</v>
      </c>
      <c r="F54" s="445"/>
      <c r="G54" s="445"/>
      <c r="H54" s="209"/>
      <c r="I54" s="210">
        <f>+J54*K54</f>
        <v>0</v>
      </c>
      <c r="J54" s="296">
        <f>+J46*0</f>
        <v>0</v>
      </c>
      <c r="K54" s="215">
        <f>+((15*2.8)*2.72)*0</f>
        <v>0</v>
      </c>
      <c r="L54" s="346">
        <v>1.6919982016368774E-2</v>
      </c>
      <c r="M54" s="344">
        <f>+L54*K54</f>
        <v>0</v>
      </c>
    </row>
    <row r="55" spans="2:13" ht="14.4" customHeight="1" x14ac:dyDescent="0.35">
      <c r="E55" s="445" t="s">
        <v>451</v>
      </c>
      <c r="F55" s="445"/>
      <c r="G55" s="445"/>
      <c r="H55" s="209">
        <v>1</v>
      </c>
      <c r="I55" s="298">
        <f>H55*J55</f>
        <v>10.1765095</v>
      </c>
      <c r="J55" s="298">
        <f>20353019/2000000</f>
        <v>10.1765095</v>
      </c>
      <c r="K55" s="246"/>
      <c r="L55" s="346"/>
      <c r="M55" s="344"/>
    </row>
    <row r="56" spans="2:13" ht="14.4" customHeight="1" x14ac:dyDescent="0.35">
      <c r="E56" s="445" t="s">
        <v>297</v>
      </c>
      <c r="F56" s="445"/>
      <c r="G56" s="445"/>
      <c r="H56" s="209"/>
      <c r="I56" s="210">
        <f>SUM(I53:I55)</f>
        <v>10.1765095</v>
      </c>
      <c r="J56" s="214"/>
      <c r="K56" s="246"/>
      <c r="L56" s="347"/>
      <c r="M56" s="349"/>
    </row>
    <row r="57" spans="2:13" ht="14.4" customHeight="1" x14ac:dyDescent="0.3">
      <c r="E57" s="227"/>
      <c r="F57" s="227"/>
      <c r="G57" s="227"/>
      <c r="H57" s="209"/>
      <c r="I57" s="210"/>
      <c r="J57" s="214"/>
      <c r="K57" s="246"/>
      <c r="L57" s="213"/>
      <c r="M57" s="352">
        <f>SUM(M45:M56)</f>
        <v>0</v>
      </c>
    </row>
    <row r="58" spans="2:13" ht="14.4" customHeight="1" x14ac:dyDescent="0.3">
      <c r="L58" s="213"/>
    </row>
    <row r="59" spans="2:13" ht="7.75" customHeight="1" thickBot="1" x14ac:dyDescent="0.35"/>
    <row r="60" spans="2:13" ht="30" customHeight="1" thickBot="1" x14ac:dyDescent="0.35">
      <c r="B60" s="191"/>
      <c r="C60" s="446" t="s">
        <v>88</v>
      </c>
      <c r="D60" s="446"/>
      <c r="E60" s="192"/>
      <c r="F60" s="192"/>
      <c r="G60" s="192"/>
      <c r="H60" s="192"/>
      <c r="I60" s="216"/>
      <c r="J60" s="193"/>
    </row>
    <row r="61" spans="2:13" ht="38" customHeight="1" x14ac:dyDescent="0.3">
      <c r="C61" s="217" t="s">
        <v>89</v>
      </c>
      <c r="D61" s="195">
        <f>SUMPRODUCT((LEFT(G21:G34, 5)="Jumbo") / (COUNTIF(G21:G34, G21:G34 &amp; "") + (G21:G34="")))</f>
        <v>0</v>
      </c>
      <c r="E61" s="447" t="s">
        <v>90</v>
      </c>
      <c r="F61" s="447"/>
      <c r="G61" s="218">
        <v>0.20833333333333334</v>
      </c>
      <c r="I61" s="139"/>
      <c r="J61" s="190"/>
    </row>
    <row r="62" spans="2:13" ht="38" customHeight="1" x14ac:dyDescent="0.3">
      <c r="E62" s="447" t="s">
        <v>93</v>
      </c>
      <c r="F62" s="447"/>
      <c r="G62" s="195">
        <f>15000/(60)</f>
        <v>250</v>
      </c>
      <c r="H62" s="219" t="s">
        <v>143</v>
      </c>
      <c r="I62" s="139"/>
      <c r="J62" s="190"/>
    </row>
    <row r="63" spans="2:13" ht="38" customHeight="1" x14ac:dyDescent="0.3">
      <c r="E63" s="448" t="s">
        <v>91</v>
      </c>
      <c r="F63" s="448"/>
      <c r="G63" s="207" t="e">
        <f>+SUM(SUMIF($G$21:$G$34, "Jumbo*", $J$21:$J$34))/SUMPRODUCT((LEFT(G21:G34, 5)="Jumbo") / (COUNTIF(G21:G34, G21:G34 &amp; "") + (G21:G34="")))</f>
        <v>#DIV/0!</v>
      </c>
      <c r="H63" s="220" t="e">
        <f>+G63*24/($G$61*24)</f>
        <v>#DIV/0!</v>
      </c>
      <c r="I63" s="190"/>
      <c r="J63" s="190"/>
    </row>
    <row r="64" spans="2:13" ht="38" customHeight="1" x14ac:dyDescent="0.3">
      <c r="E64" s="448" t="s">
        <v>92</v>
      </c>
      <c r="F64" s="448"/>
      <c r="G64" s="221" t="e">
        <f>+SUM(V21:V34)/D61</f>
        <v>#DIV/0!</v>
      </c>
      <c r="H64" s="220" t="e">
        <f>+G64/G62</f>
        <v>#DIV/0!</v>
      </c>
      <c r="I64" s="190"/>
      <c r="J64" s="190"/>
    </row>
    <row r="65" spans="2:10" ht="38" customHeight="1" x14ac:dyDescent="0.3">
      <c r="G65" s="222" t="s">
        <v>87</v>
      </c>
      <c r="H65" s="139" t="s">
        <v>23</v>
      </c>
    </row>
    <row r="66" spans="2:10" ht="20" customHeight="1" x14ac:dyDescent="0.3">
      <c r="F66" s="208" t="s">
        <v>65</v>
      </c>
      <c r="G66" s="221">
        <f t="shared" ref="G66:G71" si="9" xml:space="preserve"> SUMIF($G$21:$G$34, +F66,$V$21:$V$34)</f>
        <v>0</v>
      </c>
      <c r="H66" s="220">
        <f t="shared" ref="H66:H71" si="10">+G66/$G$62</f>
        <v>0</v>
      </c>
    </row>
    <row r="67" spans="2:10" ht="20" customHeight="1" x14ac:dyDescent="0.3">
      <c r="F67" s="208" t="s">
        <v>66</v>
      </c>
      <c r="G67" s="221">
        <f t="shared" si="9"/>
        <v>0</v>
      </c>
      <c r="H67" s="220">
        <f t="shared" si="10"/>
        <v>0</v>
      </c>
    </row>
    <row r="68" spans="2:10" ht="20" customHeight="1" x14ac:dyDescent="0.3">
      <c r="F68" s="208" t="s">
        <v>67</v>
      </c>
      <c r="G68" s="221">
        <f t="shared" si="9"/>
        <v>0</v>
      </c>
      <c r="H68" s="220">
        <f t="shared" si="10"/>
        <v>0</v>
      </c>
    </row>
    <row r="69" spans="2:10" ht="20" customHeight="1" x14ac:dyDescent="0.3">
      <c r="F69" s="208" t="s">
        <v>68</v>
      </c>
      <c r="G69" s="221">
        <f t="shared" si="9"/>
        <v>0</v>
      </c>
      <c r="H69" s="220">
        <f t="shared" si="10"/>
        <v>0</v>
      </c>
    </row>
    <row r="70" spans="2:10" ht="20" customHeight="1" x14ac:dyDescent="0.3">
      <c r="F70" s="208" t="s">
        <v>69</v>
      </c>
      <c r="G70" s="221">
        <f t="shared" si="9"/>
        <v>0</v>
      </c>
      <c r="H70" s="220">
        <f t="shared" si="10"/>
        <v>0</v>
      </c>
    </row>
    <row r="71" spans="2:10" ht="20" customHeight="1" x14ac:dyDescent="0.3">
      <c r="F71" s="208" t="s">
        <v>70</v>
      </c>
      <c r="G71" s="221">
        <f t="shared" si="9"/>
        <v>0</v>
      </c>
      <c r="H71" s="220">
        <f t="shared" si="10"/>
        <v>0</v>
      </c>
    </row>
    <row r="72" spans="2:10" ht="20" customHeight="1" x14ac:dyDescent="0.3">
      <c r="F72" s="208" t="s">
        <v>146</v>
      </c>
      <c r="G72" s="223">
        <f>+SUM(G66:G71)</f>
        <v>0</v>
      </c>
      <c r="H72" s="220" t="e">
        <f>+G72/($G$62*$D$61)</f>
        <v>#DIV/0!</v>
      </c>
    </row>
    <row r="73" spans="2:10" ht="13.5" thickBot="1" x14ac:dyDescent="0.35"/>
    <row r="74" spans="2:10" ht="30" customHeight="1" thickBot="1" x14ac:dyDescent="0.35">
      <c r="B74" s="191"/>
      <c r="C74" s="446" t="s">
        <v>107</v>
      </c>
      <c r="D74" s="446"/>
      <c r="E74" s="192"/>
      <c r="F74" s="192"/>
      <c r="G74" s="192"/>
      <c r="H74" s="192"/>
      <c r="I74" s="216"/>
      <c r="J74" s="193"/>
    </row>
    <row r="75" spans="2:10" ht="38" customHeight="1" x14ac:dyDescent="0.3">
      <c r="C75" s="208" t="s">
        <v>95</v>
      </c>
      <c r="D75" s="195">
        <f>SUMPRODUCT((LEFT(G21:G34, 5)="Scoop") / (COUNTIF(G21:G34, G21:G34 &amp; "") + (G21:G34="")))</f>
        <v>0</v>
      </c>
      <c r="E75" s="447" t="s">
        <v>90</v>
      </c>
      <c r="F75" s="447"/>
      <c r="G75" s="218">
        <v>0.20833333333333334</v>
      </c>
      <c r="I75" s="139"/>
      <c r="J75" s="190"/>
    </row>
    <row r="76" spans="2:10" ht="38" customHeight="1" x14ac:dyDescent="0.3">
      <c r="C76" s="208" t="s">
        <v>145</v>
      </c>
      <c r="D76" s="195">
        <v>4.9000000000000004</v>
      </c>
      <c r="E76" s="447" t="s">
        <v>97</v>
      </c>
      <c r="F76" s="447"/>
      <c r="G76" s="195">
        <f>15000/(60)</f>
        <v>250</v>
      </c>
      <c r="H76" s="219" t="s">
        <v>23</v>
      </c>
      <c r="I76" s="139"/>
      <c r="J76" s="190"/>
    </row>
    <row r="77" spans="2:10" ht="38" customHeight="1" x14ac:dyDescent="0.3">
      <c r="E77" s="448" t="s">
        <v>98</v>
      </c>
      <c r="F77" s="448"/>
      <c r="G77" s="207" t="e">
        <f>+SUM(SUMIF($G$21:$G$34, "Scoop*", $J$21:$J$34))/SUMPRODUCT((LEFT(G21:G34, 5)="Scoop") / (COUNTIF(G21:G34, G21:G34 &amp; "") + (G21:G34="")))</f>
        <v>#DIV/0!</v>
      </c>
      <c r="H77" s="220" t="e">
        <f>+G77*24/($G$75*24)</f>
        <v>#DIV/0!</v>
      </c>
      <c r="I77" s="190"/>
      <c r="J77" s="190"/>
    </row>
    <row r="78" spans="2:10" ht="38" customHeight="1" x14ac:dyDescent="0.3">
      <c r="E78" s="448" t="s">
        <v>99</v>
      </c>
      <c r="F78" s="448"/>
      <c r="G78" s="221" t="e">
        <f>+SUM(W21:W34)*D76/D75</f>
        <v>#DIV/0!</v>
      </c>
      <c r="H78" s="220" t="e">
        <f>+G78/G76</f>
        <v>#DIV/0!</v>
      </c>
      <c r="I78" s="190"/>
      <c r="J78" s="190"/>
    </row>
    <row r="79" spans="2:10" ht="38" customHeight="1" x14ac:dyDescent="0.3">
      <c r="G79" s="222" t="s">
        <v>96</v>
      </c>
      <c r="H79" s="139" t="s">
        <v>23</v>
      </c>
    </row>
    <row r="80" spans="2:10" ht="20" customHeight="1" x14ac:dyDescent="0.3">
      <c r="F80" s="208" t="s">
        <v>71</v>
      </c>
      <c r="G80" s="221">
        <f t="shared" ref="G80:G85" si="11" xml:space="preserve"> SUMIF($G$21:$G$34, +F80,$W$21:$W$34)*$D$76</f>
        <v>0</v>
      </c>
      <c r="H80" s="220">
        <f>+G80/$G$76</f>
        <v>0</v>
      </c>
    </row>
    <row r="81" spans="2:10" ht="20" customHeight="1" x14ac:dyDescent="0.3">
      <c r="F81" s="208" t="s">
        <v>72</v>
      </c>
      <c r="G81" s="221">
        <f t="shared" si="11"/>
        <v>0</v>
      </c>
      <c r="H81" s="220">
        <f t="shared" ref="H81:H86" si="12">+G81/$G$76</f>
        <v>0</v>
      </c>
    </row>
    <row r="82" spans="2:10" ht="20" customHeight="1" x14ac:dyDescent="0.3">
      <c r="F82" s="208" t="s">
        <v>73</v>
      </c>
      <c r="G82" s="221">
        <f t="shared" si="11"/>
        <v>0</v>
      </c>
      <c r="H82" s="220">
        <f t="shared" si="12"/>
        <v>0</v>
      </c>
    </row>
    <row r="83" spans="2:10" ht="20" customHeight="1" x14ac:dyDescent="0.3">
      <c r="F83" s="208" t="s">
        <v>74</v>
      </c>
      <c r="G83" s="221">
        <f t="shared" si="11"/>
        <v>0</v>
      </c>
      <c r="H83" s="220">
        <f t="shared" si="12"/>
        <v>0</v>
      </c>
    </row>
    <row r="84" spans="2:10" ht="20" customHeight="1" x14ac:dyDescent="0.3">
      <c r="F84" s="208" t="s">
        <v>75</v>
      </c>
      <c r="G84" s="221">
        <f t="shared" si="11"/>
        <v>0</v>
      </c>
      <c r="H84" s="220">
        <f t="shared" si="12"/>
        <v>0</v>
      </c>
    </row>
    <row r="85" spans="2:10" ht="20" customHeight="1" x14ac:dyDescent="0.3">
      <c r="F85" s="208" t="s">
        <v>76</v>
      </c>
      <c r="G85" s="221">
        <f t="shared" si="11"/>
        <v>0</v>
      </c>
      <c r="H85" s="220">
        <f t="shared" si="12"/>
        <v>0</v>
      </c>
    </row>
    <row r="86" spans="2:10" ht="20" customHeight="1" x14ac:dyDescent="0.3">
      <c r="F86" s="208" t="s">
        <v>146</v>
      </c>
      <c r="G86" s="223">
        <f>+SUM(G80:G85)</f>
        <v>0</v>
      </c>
      <c r="H86" s="220">
        <f t="shared" si="12"/>
        <v>0</v>
      </c>
    </row>
    <row r="87" spans="2:10" ht="13.5" thickBot="1" x14ac:dyDescent="0.35"/>
    <row r="88" spans="2:10" ht="30" customHeight="1" thickBot="1" x14ac:dyDescent="0.35">
      <c r="B88" s="191"/>
      <c r="C88" s="446" t="s">
        <v>149</v>
      </c>
      <c r="D88" s="446"/>
      <c r="E88" s="192"/>
      <c r="F88" s="192"/>
      <c r="G88" s="192"/>
      <c r="H88" s="192"/>
      <c r="I88" s="216"/>
      <c r="J88" s="193"/>
    </row>
    <row r="89" spans="2:10" ht="25.25" customHeight="1" x14ac:dyDescent="0.3">
      <c r="C89" s="208" t="s">
        <v>150</v>
      </c>
      <c r="D89" s="195">
        <f>SUMPRODUCT((LEFT(G21:G34, 8)="Roboshot") / (COUNTIF(G21:G34, G21:G34 &amp; "") + (G21:G34="")))</f>
        <v>0</v>
      </c>
      <c r="E89" s="447" t="s">
        <v>90</v>
      </c>
      <c r="F89" s="447"/>
      <c r="G89" s="218">
        <v>0.20833333333333334</v>
      </c>
    </row>
    <row r="90" spans="2:10" x14ac:dyDescent="0.3">
      <c r="C90" s="208"/>
      <c r="D90" s="195"/>
      <c r="E90" s="447" t="s">
        <v>97</v>
      </c>
      <c r="F90" s="447"/>
      <c r="G90" s="195">
        <v>12</v>
      </c>
      <c r="H90" s="219" t="s">
        <v>23</v>
      </c>
    </row>
    <row r="92" spans="2:10" x14ac:dyDescent="0.3">
      <c r="G92" s="222" t="s">
        <v>96</v>
      </c>
      <c r="H92" s="139" t="s">
        <v>23</v>
      </c>
    </row>
    <row r="93" spans="2:10" x14ac:dyDescent="0.3">
      <c r="F93" s="208" t="s">
        <v>77</v>
      </c>
      <c r="G93" s="221">
        <f xml:space="preserve"> SUMIF($G$21:$G$34, +F93,$X$21:$X$34)</f>
        <v>0</v>
      </c>
      <c r="H93" s="220">
        <f>+G93/$G$90</f>
        <v>0</v>
      </c>
    </row>
    <row r="94" spans="2:10" x14ac:dyDescent="0.3">
      <c r="F94" s="208" t="s">
        <v>78</v>
      </c>
      <c r="G94" s="221">
        <f xml:space="preserve"> SUMIF($G$21:$G$34, +F94,$X$21:$X$34)</f>
        <v>0</v>
      </c>
      <c r="H94" s="220">
        <f t="shared" ref="H94:H95" si="13">+G94/$G$90</f>
        <v>0</v>
      </c>
    </row>
    <row r="95" spans="2:10" x14ac:dyDescent="0.3">
      <c r="F95" s="208" t="s">
        <v>79</v>
      </c>
      <c r="G95" s="221">
        <f xml:space="preserve"> SUMIF($G$21:$G$34, +F95,$X$21:$X$34)</f>
        <v>0</v>
      </c>
      <c r="H95" s="220">
        <f t="shared" si="13"/>
        <v>0</v>
      </c>
    </row>
    <row r="96" spans="2:10" x14ac:dyDescent="0.3">
      <c r="F96" s="208" t="s">
        <v>146</v>
      </c>
      <c r="G96" s="223">
        <f>+SUM(G93:G95)</f>
        <v>0</v>
      </c>
      <c r="H96" s="220">
        <f>+G96/$G$90</f>
        <v>0</v>
      </c>
    </row>
  </sheetData>
  <mergeCells count="42">
    <mergeCell ref="K8:L8"/>
    <mergeCell ref="E55:G55"/>
    <mergeCell ref="B1:D4"/>
    <mergeCell ref="E2:R2"/>
    <mergeCell ref="E3:R4"/>
    <mergeCell ref="K6:L6"/>
    <mergeCell ref="K7:L7"/>
    <mergeCell ref="E47:G47"/>
    <mergeCell ref="K9:L9"/>
    <mergeCell ref="K10:L10"/>
    <mergeCell ref="K11:L11"/>
    <mergeCell ref="K12:L12"/>
    <mergeCell ref="B14:S14"/>
    <mergeCell ref="C39:D39"/>
    <mergeCell ref="G39:H39"/>
    <mergeCell ref="I39:J39"/>
    <mergeCell ref="K39:L39"/>
    <mergeCell ref="E40:F40"/>
    <mergeCell ref="E41:F41"/>
    <mergeCell ref="E42:F42"/>
    <mergeCell ref="E45:G45"/>
    <mergeCell ref="E46:G46"/>
    <mergeCell ref="E64:F64"/>
    <mergeCell ref="E48:G48"/>
    <mergeCell ref="E49:G49"/>
    <mergeCell ref="E50:G50"/>
    <mergeCell ref="E51:G51"/>
    <mergeCell ref="E53:G53"/>
    <mergeCell ref="E54:G54"/>
    <mergeCell ref="E56:G56"/>
    <mergeCell ref="C60:D60"/>
    <mergeCell ref="E61:F61"/>
    <mergeCell ref="E62:F62"/>
    <mergeCell ref="E63:F63"/>
    <mergeCell ref="E89:F89"/>
    <mergeCell ref="E90:F90"/>
    <mergeCell ref="C74:D74"/>
    <mergeCell ref="E75:F75"/>
    <mergeCell ref="E76:F76"/>
    <mergeCell ref="E77:F77"/>
    <mergeCell ref="E78:F78"/>
    <mergeCell ref="C88:D88"/>
  </mergeCells>
  <conditionalFormatting sqref="H41:H42 J41:J42">
    <cfRule type="cellIs" dxfId="20" priority="13" operator="greaterThan">
      <formula>0.9</formula>
    </cfRule>
    <cfRule type="cellIs" dxfId="19" priority="14" operator="between">
      <formula>0.81</formula>
      <formula>0.89</formula>
    </cfRule>
    <cfRule type="cellIs" dxfId="18" priority="15" operator="lessThan">
      <formula>0.8</formula>
    </cfRule>
  </conditionalFormatting>
  <conditionalFormatting sqref="H63:H64">
    <cfRule type="cellIs" dxfId="17" priority="16" operator="greaterThan">
      <formula>0.9</formula>
    </cfRule>
    <cfRule type="cellIs" dxfId="16" priority="17" operator="between">
      <formula>0.81</formula>
      <formula>0.89</formula>
    </cfRule>
    <cfRule type="cellIs" dxfId="15" priority="18" operator="lessThan">
      <formula>0.8</formula>
    </cfRule>
  </conditionalFormatting>
  <conditionalFormatting sqref="H66:H72">
    <cfRule type="cellIs" dxfId="14" priority="19" operator="greaterThan">
      <formula>0.9</formula>
    </cfRule>
    <cfRule type="cellIs" dxfId="13" priority="20" operator="between">
      <formula>0.81</formula>
      <formula>0.89</formula>
    </cfRule>
    <cfRule type="cellIs" dxfId="12" priority="21" operator="lessThan">
      <formula>0.8</formula>
    </cfRule>
  </conditionalFormatting>
  <conditionalFormatting sqref="H77:H78">
    <cfRule type="cellIs" dxfId="11" priority="7" operator="greaterThan">
      <formula>0.9</formula>
    </cfRule>
    <cfRule type="cellIs" dxfId="10" priority="8" operator="between">
      <formula>0.81</formula>
      <formula>0.89</formula>
    </cfRule>
    <cfRule type="cellIs" dxfId="9" priority="9" operator="lessThan">
      <formula>0.8</formula>
    </cfRule>
  </conditionalFormatting>
  <conditionalFormatting sqref="H80:H86">
    <cfRule type="cellIs" dxfId="8" priority="10" operator="greaterThan">
      <formula>0.9</formula>
    </cfRule>
    <cfRule type="cellIs" dxfId="7" priority="11" operator="between">
      <formula>0.81</formula>
      <formula>0.89</formula>
    </cfRule>
    <cfRule type="cellIs" dxfId="6" priority="12" operator="lessThan">
      <formula>0.8</formula>
    </cfRule>
  </conditionalFormatting>
  <conditionalFormatting sqref="H93:H96">
    <cfRule type="cellIs" dxfId="5" priority="4" operator="greaterThan">
      <formula>0.9</formula>
    </cfRule>
    <cfRule type="cellIs" dxfId="4" priority="5" operator="between">
      <formula>0.81</formula>
      <formula>0.89</formula>
    </cfRule>
    <cfRule type="cellIs" dxfId="3" priority="6" operator="lessThan">
      <formula>0.8</formula>
    </cfRule>
  </conditionalFormatting>
  <conditionalFormatting sqref="L41:L42">
    <cfRule type="cellIs" dxfId="2" priority="1" operator="greaterThan">
      <formula>0.9</formula>
    </cfRule>
    <cfRule type="cellIs" dxfId="1" priority="2" operator="between">
      <formula>0.81</formula>
      <formula>0.89</formula>
    </cfRule>
    <cfRule type="cellIs" dxfId="0" priority="3" operator="lessThan">
      <formula>0.8</formula>
    </cfRule>
  </conditionalFormatting>
  <pageMargins left="0.25" right="0.25" top="0.75" bottom="0.75" header="0.3" footer="0.3"/>
  <pageSetup scale="42" fitToHeight="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4F881EE-56E3-496B-A8E8-79EC190F00A7}">
          <x14:formula1>
            <xm:f>Datos!$B$3:$B$8</xm:f>
          </x14:formula1>
          <xm:sqref>E29:E37 E21:E26</xm:sqref>
        </x14:dataValidation>
        <x14:dataValidation type="list" allowBlank="1" showInputMessage="1" showErrorMessage="1" xr:uid="{8B3B89C6-64E1-42E9-9647-F59A5A491314}">
          <x14:formula1>
            <xm:f>Datos!$D$3:$D$27</xm:f>
          </x14:formula1>
          <xm:sqref>F29:F37 F21:F26</xm:sqref>
        </x14:dataValidation>
        <x14:dataValidation type="list" allowBlank="1" showInputMessage="1" showErrorMessage="1" xr:uid="{38F079FE-0C4A-4B40-8921-6597B121788A}">
          <x14:formula1>
            <xm:f>Datos!$W$3:$W$12</xm:f>
          </x14:formula1>
          <xm:sqref>L29:L37 L21:L26</xm:sqref>
        </x14:dataValidation>
        <x14:dataValidation type="list" allowBlank="1" showInputMessage="1" showErrorMessage="1" xr:uid="{9DA81547-2B18-42DB-B031-9487387D48BD}">
          <x14:formula1>
            <xm:f>Datos!$F$3:$F$41</xm:f>
          </x14:formula1>
          <xm:sqref>G29:G37 G21:G26</xm:sqref>
        </x14:dataValidation>
        <x14:dataValidation type="list" allowBlank="1" showInputMessage="1" showErrorMessage="1" xr:uid="{8637D66C-EA60-41FB-B886-59732FB8E62B}">
          <x14:formula1>
            <xm:f>Datos!$H$3:$H$26</xm:f>
          </x14:formula1>
          <xm:sqref>D26 D37</xm:sqref>
        </x14:dataValidation>
        <x14:dataValidation type="list" allowBlank="1" showInputMessage="1" showErrorMessage="1" xr:uid="{4778E32C-D567-4E87-A315-13E780BDAC44}">
          <x14:formula1>
            <xm:f>Datos!$H$3:$H$34</xm:f>
          </x14:formula1>
          <xm:sqref>D29:D36 D21:D25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BBCD4-0C08-46FA-8290-6AD4274E755F}">
  <sheetPr codeName="Hoja6">
    <tabColor rgb="FF00B050"/>
  </sheetPr>
  <dimension ref="B1:AM86"/>
  <sheetViews>
    <sheetView showGridLines="0" tabSelected="1" zoomScale="70" zoomScaleNormal="70" workbookViewId="0">
      <pane xSplit="4" ySplit="2" topLeftCell="O12" activePane="bottomRight" state="frozen"/>
      <selection activeCell="K27" sqref="K27"/>
      <selection pane="topRight" activeCell="K27" sqref="K27"/>
      <selection pane="bottomLeft" activeCell="K27" sqref="K27"/>
      <selection pane="bottomRight" activeCell="AA17" sqref="AA17"/>
    </sheetView>
  </sheetViews>
  <sheetFormatPr baseColWidth="10" defaultRowHeight="14.5" outlineLevelRow="1" x14ac:dyDescent="0.35"/>
  <cols>
    <col min="2" max="2" width="3.453125" customWidth="1"/>
    <col min="3" max="3" width="8.453125" bestFit="1" customWidth="1"/>
    <col min="5" max="5" width="8.81640625" customWidth="1"/>
    <col min="6" max="6" width="8.453125" bestFit="1" customWidth="1"/>
    <col min="7" max="7" width="9.36328125" customWidth="1"/>
    <col min="8" max="8" width="12.1796875" customWidth="1"/>
    <col min="9" max="9" width="11" customWidth="1"/>
    <col min="10" max="10" width="10.54296875" customWidth="1"/>
    <col min="11" max="11" width="10.36328125" customWidth="1"/>
    <col min="12" max="12" width="9.54296875" customWidth="1"/>
    <col min="13" max="13" width="9" style="98" customWidth="1"/>
    <col min="14" max="14" width="5.08984375" customWidth="1"/>
    <col min="15" max="15" width="9.1796875" customWidth="1"/>
    <col min="16" max="16" width="7.90625" customWidth="1"/>
    <col min="17" max="17" width="10.08984375" style="98" customWidth="1"/>
    <col min="18" max="18" width="5.08984375" customWidth="1"/>
    <col min="19" max="19" width="6.1796875" bestFit="1" customWidth="1"/>
    <col min="20" max="20" width="9.08984375" style="224" customWidth="1"/>
    <col min="21" max="21" width="12.54296875" style="97" customWidth="1"/>
    <col min="22" max="22" width="12.453125" customWidth="1"/>
    <col min="23" max="23" width="11.6328125" customWidth="1"/>
    <col min="24" max="24" width="12.1796875" style="43" customWidth="1"/>
    <col min="25" max="25" width="10" customWidth="1"/>
    <col min="27" max="27" width="18.6328125" customWidth="1"/>
    <col min="29" max="29" width="6.90625" customWidth="1"/>
    <col min="30" max="30" width="3.08984375" customWidth="1"/>
    <col min="31" max="31" width="22.36328125" customWidth="1"/>
    <col min="32" max="32" width="10.08984375" customWidth="1"/>
    <col min="33" max="33" width="17.36328125" bestFit="1" customWidth="1"/>
    <col min="34" max="34" width="2.6328125" customWidth="1"/>
    <col min="35" max="35" width="18.6328125" customWidth="1"/>
    <col min="37" max="37" width="3.90625" customWidth="1"/>
    <col min="38" max="38" width="32.6328125" customWidth="1"/>
  </cols>
  <sheetData>
    <row r="1" spans="2:36" ht="19" thickBot="1" x14ac:dyDescent="0.5">
      <c r="AE1" s="239"/>
    </row>
    <row r="2" spans="2:36" ht="44" thickBot="1" x14ac:dyDescent="0.4">
      <c r="C2" s="278" t="s">
        <v>178</v>
      </c>
      <c r="D2" s="279" t="s">
        <v>179</v>
      </c>
      <c r="E2" s="279" t="s">
        <v>180</v>
      </c>
      <c r="F2" s="279" t="s">
        <v>181</v>
      </c>
      <c r="G2" s="279" t="s">
        <v>197</v>
      </c>
      <c r="H2" s="279" t="s">
        <v>301</v>
      </c>
      <c r="I2" s="279" t="s">
        <v>302</v>
      </c>
      <c r="J2" s="279" t="s">
        <v>196</v>
      </c>
      <c r="K2" s="279" t="s">
        <v>220</v>
      </c>
      <c r="L2" s="279" t="s">
        <v>219</v>
      </c>
      <c r="M2" s="280" t="s">
        <v>218</v>
      </c>
      <c r="N2" s="281"/>
      <c r="O2" s="279" t="s">
        <v>182</v>
      </c>
      <c r="P2" s="279" t="s">
        <v>183</v>
      </c>
      <c r="Q2" s="280" t="s">
        <v>221</v>
      </c>
      <c r="R2" s="281"/>
      <c r="S2" s="279" t="s">
        <v>187</v>
      </c>
      <c r="T2" s="282" t="s">
        <v>188</v>
      </c>
      <c r="U2" s="283" t="s">
        <v>189</v>
      </c>
      <c r="V2" s="279" t="s">
        <v>190</v>
      </c>
      <c r="W2" s="279" t="s">
        <v>191</v>
      </c>
      <c r="X2" s="284" t="s">
        <v>193</v>
      </c>
      <c r="Y2" s="285" t="s">
        <v>192</v>
      </c>
      <c r="AA2" s="119" t="s">
        <v>311</v>
      </c>
      <c r="AB2" s="119" t="s">
        <v>312</v>
      </c>
      <c r="AC2" s="252"/>
      <c r="AD2" s="38"/>
      <c r="AE2" s="243" t="s">
        <v>277</v>
      </c>
      <c r="AF2" s="244" t="s">
        <v>280</v>
      </c>
      <c r="AI2" s="382" t="s">
        <v>314</v>
      </c>
      <c r="AJ2" s="383" t="s">
        <v>313</v>
      </c>
    </row>
    <row r="3" spans="2:36" outlineLevel="1" x14ac:dyDescent="0.35">
      <c r="B3" s="254"/>
      <c r="C3" s="502">
        <v>46204</v>
      </c>
      <c r="D3" s="264" t="s">
        <v>184</v>
      </c>
      <c r="E3" s="265">
        <v>7.2707604645405723</v>
      </c>
      <c r="F3" s="265">
        <v>5.9419741935483863</v>
      </c>
      <c r="G3" s="265">
        <f>SUM(E3:F3)</f>
        <v>13.212734658088959</v>
      </c>
      <c r="H3" s="490">
        <f>+G3+G4</f>
        <v>38.681189753919654</v>
      </c>
      <c r="I3" s="490">
        <f>+H3</f>
        <v>38.681189753919654</v>
      </c>
      <c r="J3" s="266">
        <f>+(1850-430)/60</f>
        <v>23.666666666666668</v>
      </c>
      <c r="K3" s="492">
        <f>+J4+J3</f>
        <v>47.333333333333336</v>
      </c>
      <c r="L3" s="492">
        <f>+K3</f>
        <v>47.333333333333336</v>
      </c>
      <c r="M3" s="267">
        <f t="shared" ref="M3:M64" si="0">+G3/J3</f>
        <v>0.55828456301784335</v>
      </c>
      <c r="N3" s="259"/>
      <c r="O3" s="268">
        <f>+'01-07 A'!J33</f>
        <v>0.30555555555555558</v>
      </c>
      <c r="P3" s="268">
        <f>+'01-07 A'!J25</f>
        <v>0.30902777777777779</v>
      </c>
      <c r="Q3" s="269">
        <f>IFERROR(AVERAGE(O3:P3),0)</f>
        <v>0.30729166666666669</v>
      </c>
      <c r="R3" s="259"/>
      <c r="S3" s="503">
        <f>'Analisis Venta por Paralización'!$M$14/30</f>
        <v>15.833333333333334</v>
      </c>
      <c r="T3" s="504">
        <f>+H3+S3</f>
        <v>54.514523087252989</v>
      </c>
      <c r="U3" s="492">
        <f>+T3</f>
        <v>54.514523087252989</v>
      </c>
      <c r="V3" s="492">
        <f>1850/31</f>
        <v>59.677419354838712</v>
      </c>
      <c r="W3" s="492">
        <f>+V3</f>
        <v>59.677419354838712</v>
      </c>
      <c r="X3" s="270">
        <f>+G3/H3</f>
        <v>0.34158035836397926</v>
      </c>
      <c r="Y3" s="493">
        <f>+U3/W3</f>
        <v>0.91348660308369867</v>
      </c>
      <c r="AA3" s="249">
        <f>+G4</f>
        <v>25.468455095830691</v>
      </c>
      <c r="AB3" s="249">
        <f>+G3</f>
        <v>13.212734658088959</v>
      </c>
      <c r="AE3" s="237" t="s">
        <v>276</v>
      </c>
      <c r="AF3" s="300">
        <v>7</v>
      </c>
      <c r="AI3" s="228" t="s">
        <v>311</v>
      </c>
      <c r="AJ3" s="231">
        <f>+AA12</f>
        <v>18.735488167651393</v>
      </c>
    </row>
    <row r="4" spans="2:36" outlineLevel="1" x14ac:dyDescent="0.35">
      <c r="B4" s="254"/>
      <c r="C4" s="495"/>
      <c r="D4" s="113" t="s">
        <v>185</v>
      </c>
      <c r="E4" s="117">
        <v>14.832703812316716</v>
      </c>
      <c r="F4" s="117">
        <v>10.635751283513974</v>
      </c>
      <c r="G4" s="117">
        <f>SUM(E4:F4)</f>
        <v>25.468455095830691</v>
      </c>
      <c r="H4" s="491"/>
      <c r="I4" s="491"/>
      <c r="J4" s="115">
        <f t="shared" ref="J4:J69" si="1">+(1850-430)/60</f>
        <v>23.666666666666668</v>
      </c>
      <c r="K4" s="484"/>
      <c r="L4" s="484"/>
      <c r="M4" s="114">
        <f t="shared" si="0"/>
        <v>1.0761319054576348</v>
      </c>
      <c r="O4" s="120">
        <f>+'01-07 B'!J24</f>
        <v>0.23958333333333331</v>
      </c>
      <c r="P4" s="120">
        <f>+'01-07 B'!J30</f>
        <v>0.22569444444444448</v>
      </c>
      <c r="Q4" s="122">
        <f t="shared" ref="Q4:Q64" si="2">IFERROR(AVERAGE(O4:P4),0)</f>
        <v>0.2326388888888889</v>
      </c>
      <c r="S4" s="464"/>
      <c r="T4" s="475"/>
      <c r="U4" s="484"/>
      <c r="V4" s="484"/>
      <c r="W4" s="484"/>
      <c r="X4" s="116">
        <f>+G4/H3</f>
        <v>0.65841964163602062</v>
      </c>
      <c r="Y4" s="487"/>
      <c r="AA4" s="249">
        <f>+G6</f>
        <v>12.728640494635924</v>
      </c>
      <c r="AB4" s="249">
        <f>+G5</f>
        <v>11.492043310085936</v>
      </c>
      <c r="AE4" s="237" t="s">
        <v>281</v>
      </c>
      <c r="AF4" s="229">
        <f>AVERAGE(H3:H16)</f>
        <v>25.415796806784886</v>
      </c>
      <c r="AI4" s="228" t="s">
        <v>312</v>
      </c>
      <c r="AJ4" s="231">
        <f>+AB12</f>
        <v>22.513641972466829</v>
      </c>
    </row>
    <row r="5" spans="2:36" outlineLevel="1" x14ac:dyDescent="0.35">
      <c r="B5" s="254"/>
      <c r="C5" s="470">
        <v>46205</v>
      </c>
      <c r="D5" s="88" t="s">
        <v>184</v>
      </c>
      <c r="E5" s="118">
        <v>9.0472949229891615</v>
      </c>
      <c r="F5" s="118">
        <v>2.4447483870967739</v>
      </c>
      <c r="G5" s="118">
        <f t="shared" ref="G5:G20" si="3">SUM(E5:F5)</f>
        <v>11.492043310085936</v>
      </c>
      <c r="H5" s="472">
        <f t="shared" ref="H5" si="4">+G5+G6</f>
        <v>24.220683804721858</v>
      </c>
      <c r="I5" s="472">
        <f>+H5+I3</f>
        <v>62.901873558641512</v>
      </c>
      <c r="J5" s="100">
        <f t="shared" si="1"/>
        <v>23.666666666666668</v>
      </c>
      <c r="K5" s="452">
        <f>+J6+J5</f>
        <v>47.333333333333336</v>
      </c>
      <c r="L5" s="452">
        <f>+K5+L3</f>
        <v>94.666666666666671</v>
      </c>
      <c r="M5" s="112">
        <f t="shared" si="0"/>
        <v>0.4855792947923635</v>
      </c>
      <c r="O5" s="121">
        <f>+'02-07A'!J25</f>
        <v>0.25694444444444459</v>
      </c>
      <c r="P5" s="121">
        <f>+'02-07A'!J33</f>
        <v>0.27430555555555547</v>
      </c>
      <c r="Q5" s="123">
        <f t="shared" si="2"/>
        <v>0.265625</v>
      </c>
      <c r="S5" s="474">
        <f>+S3</f>
        <v>15.833333333333334</v>
      </c>
      <c r="T5" s="466">
        <f>+H5+S5</f>
        <v>40.054017138055194</v>
      </c>
      <c r="U5" s="452">
        <f>+T5+U3</f>
        <v>94.568540225308183</v>
      </c>
      <c r="V5" s="452">
        <f t="shared" ref="V5" si="5">1850/31</f>
        <v>59.677419354838712</v>
      </c>
      <c r="W5" s="452">
        <f>+V5+W3</f>
        <v>119.35483870967742</v>
      </c>
      <c r="X5" s="89">
        <f>IFERROR(G5/H5,0)</f>
        <v>0.47447228999560886</v>
      </c>
      <c r="Y5" s="454">
        <f>+U5/W5</f>
        <v>0.79233101269852801</v>
      </c>
      <c r="AA5" s="249">
        <f>+G8</f>
        <v>11.765623171337612</v>
      </c>
      <c r="AB5" s="249">
        <f>+G7</f>
        <v>21.201828450215849</v>
      </c>
      <c r="AE5" s="237" t="s">
        <v>286</v>
      </c>
      <c r="AF5" s="229">
        <f>+AF4*AF3</f>
        <v>177.91057764749419</v>
      </c>
      <c r="AI5" s="251" t="s">
        <v>318</v>
      </c>
      <c r="AJ5" s="251">
        <f>SUM(AJ3:AJ4)</f>
        <v>41.249130140118226</v>
      </c>
    </row>
    <row r="6" spans="2:36" outlineLevel="1" x14ac:dyDescent="0.35">
      <c r="B6" s="254"/>
      <c r="C6" s="471"/>
      <c r="D6" s="88" t="s">
        <v>185</v>
      </c>
      <c r="E6" s="118">
        <v>10.451582430119794</v>
      </c>
      <c r="F6" s="118">
        <v>2.2770580645161291</v>
      </c>
      <c r="G6" s="118">
        <f t="shared" si="3"/>
        <v>12.728640494635924</v>
      </c>
      <c r="H6" s="473"/>
      <c r="I6" s="473"/>
      <c r="J6" s="100">
        <f t="shared" si="1"/>
        <v>23.666666666666668</v>
      </c>
      <c r="K6" s="453"/>
      <c r="L6" s="453"/>
      <c r="M6" s="112">
        <f t="shared" si="0"/>
        <v>0.53782988005503896</v>
      </c>
      <c r="O6" s="121">
        <f>+'02-07B'!J23</f>
        <v>0.3125</v>
      </c>
      <c r="P6" s="121">
        <f>+'02-07B'!J33</f>
        <v>0.32291666666666663</v>
      </c>
      <c r="Q6" s="123">
        <f t="shared" si="2"/>
        <v>0.31770833333333331</v>
      </c>
      <c r="S6" s="474"/>
      <c r="T6" s="475"/>
      <c r="U6" s="453"/>
      <c r="V6" s="453"/>
      <c r="W6" s="453"/>
      <c r="X6" s="89">
        <f>IFERROR(G6/H5,0)</f>
        <v>0.52552771000439125</v>
      </c>
      <c r="Y6" s="455"/>
      <c r="AA6" s="249">
        <f>+G10</f>
        <v>8.3141241550889724</v>
      </c>
      <c r="AB6" s="249">
        <f>+G9</f>
        <v>15.042137690834881</v>
      </c>
      <c r="AE6" s="236" t="s">
        <v>282</v>
      </c>
      <c r="AF6" s="118">
        <f>SUM(AF5)</f>
        <v>177.91057764749419</v>
      </c>
      <c r="AG6" s="248" t="s">
        <v>315</v>
      </c>
      <c r="AI6" s="251" t="s">
        <v>316</v>
      </c>
      <c r="AJ6" s="251">
        <v>7</v>
      </c>
    </row>
    <row r="7" spans="2:36" outlineLevel="1" x14ac:dyDescent="0.35">
      <c r="B7" s="254"/>
      <c r="C7" s="456">
        <v>46206</v>
      </c>
      <c r="D7" s="113" t="s">
        <v>184</v>
      </c>
      <c r="E7" s="117">
        <v>13.996832857957784</v>
      </c>
      <c r="F7" s="117">
        <v>7.2049955922580651</v>
      </c>
      <c r="G7" s="117">
        <f t="shared" si="3"/>
        <v>21.201828450215849</v>
      </c>
      <c r="H7" s="458">
        <f t="shared" ref="H7" si="6">+G7+G8</f>
        <v>32.967451621553465</v>
      </c>
      <c r="I7" s="458">
        <f>+H7+I5</f>
        <v>95.869325180194977</v>
      </c>
      <c r="J7" s="115">
        <f t="shared" si="1"/>
        <v>23.666666666666668</v>
      </c>
      <c r="K7" s="462">
        <f>+J8+J7</f>
        <v>47.333333333333336</v>
      </c>
      <c r="L7" s="462">
        <f>+K7+L5</f>
        <v>142</v>
      </c>
      <c r="M7" s="114">
        <f t="shared" si="0"/>
        <v>0.89585190634714851</v>
      </c>
      <c r="O7" s="120">
        <f>+'03-07A'!J26</f>
        <v>0.32291666666666669</v>
      </c>
      <c r="P7" s="120">
        <f>+'03-07A'!J34</f>
        <v>0.20833333333333331</v>
      </c>
      <c r="Q7" s="122">
        <f t="shared" si="2"/>
        <v>0.265625</v>
      </c>
      <c r="S7" s="464">
        <f>+S5</f>
        <v>15.833333333333334</v>
      </c>
      <c r="T7" s="466">
        <f>+H7+S7</f>
        <v>48.800784954886801</v>
      </c>
      <c r="U7" s="462">
        <f t="shared" ref="U7:W7" si="7">+T7+U5</f>
        <v>143.36932518019498</v>
      </c>
      <c r="V7" s="462">
        <f t="shared" ref="V7" si="8">1850/31</f>
        <v>59.677419354838712</v>
      </c>
      <c r="W7" s="462">
        <f t="shared" si="7"/>
        <v>179.03225806451613</v>
      </c>
      <c r="X7" s="116">
        <f t="shared" ref="X7:X37" si="9">IFERROR(G7/H7,0)</f>
        <v>0.64311396263199538</v>
      </c>
      <c r="Y7" s="468">
        <f>+U7/W7</f>
        <v>0.80080163614162958</v>
      </c>
      <c r="AA7" s="249">
        <f>+G12</f>
        <v>2.8021935483870961</v>
      </c>
      <c r="AB7" s="249">
        <f>+G11</f>
        <v>9.1599246038709659</v>
      </c>
      <c r="AE7" s="237" t="s">
        <v>285</v>
      </c>
      <c r="AF7" s="232">
        <f>+S15*AF3</f>
        <v>110.83333333333334</v>
      </c>
      <c r="AG7" s="229">
        <f>+AF7/7</f>
        <v>15.833333333333334</v>
      </c>
      <c r="AI7" s="250" t="s">
        <v>317</v>
      </c>
      <c r="AJ7" s="250">
        <f>+AJ6*AJ5</f>
        <v>288.74391098082759</v>
      </c>
    </row>
    <row r="8" spans="2:36" outlineLevel="1" x14ac:dyDescent="0.35">
      <c r="B8" s="254"/>
      <c r="C8" s="495"/>
      <c r="D8" s="113" t="s">
        <v>185</v>
      </c>
      <c r="E8" s="117">
        <v>4.3740102681118076</v>
      </c>
      <c r="F8" s="117">
        <v>7.3916129032258047</v>
      </c>
      <c r="G8" s="117">
        <f t="shared" si="3"/>
        <v>11.765623171337612</v>
      </c>
      <c r="H8" s="491"/>
      <c r="I8" s="491"/>
      <c r="J8" s="115">
        <f t="shared" si="1"/>
        <v>23.666666666666668</v>
      </c>
      <c r="K8" s="484"/>
      <c r="L8" s="484"/>
      <c r="M8" s="114">
        <f t="shared" si="0"/>
        <v>0.4971390072396174</v>
      </c>
      <c r="O8" s="120">
        <f>+'03-07B'!J26</f>
        <v>0.32638888888888878</v>
      </c>
      <c r="P8" s="120">
        <f>+'03-07B'!J34</f>
        <v>0.32291666666666663</v>
      </c>
      <c r="Q8" s="122">
        <f t="shared" si="2"/>
        <v>0.32465277777777768</v>
      </c>
      <c r="S8" s="464"/>
      <c r="T8" s="475"/>
      <c r="U8" s="484"/>
      <c r="V8" s="484"/>
      <c r="W8" s="484"/>
      <c r="X8" s="116">
        <f>IFERROR(G8/H7,0)</f>
        <v>0.35688603736800456</v>
      </c>
      <c r="Y8" s="487"/>
      <c r="AA8" s="249">
        <f>+G14</f>
        <v>9.9249893153370916</v>
      </c>
      <c r="AB8" s="249">
        <f>+G13</f>
        <v>14.918010287640071</v>
      </c>
      <c r="AE8" s="236" t="s">
        <v>278</v>
      </c>
      <c r="AF8" s="118">
        <f>SUM(AF6:AF7)</f>
        <v>288.74391098082754</v>
      </c>
      <c r="AG8" s="229">
        <f>+AG7+AF4</f>
        <v>41.249130140118218</v>
      </c>
    </row>
    <row r="9" spans="2:36" outlineLevel="1" x14ac:dyDescent="0.35">
      <c r="B9" s="254"/>
      <c r="C9" s="470">
        <v>46207</v>
      </c>
      <c r="D9" s="88" t="s">
        <v>184</v>
      </c>
      <c r="E9" s="118">
        <v>7.1851389218026247</v>
      </c>
      <c r="F9" s="118">
        <v>7.8569987690322574</v>
      </c>
      <c r="G9" s="118">
        <f t="shared" si="3"/>
        <v>15.042137690834881</v>
      </c>
      <c r="H9" s="472">
        <f t="shared" ref="H9" si="10">+G9+G10</f>
        <v>23.356261845923854</v>
      </c>
      <c r="I9" s="472">
        <f>+H9+I7</f>
        <v>119.22558702611883</v>
      </c>
      <c r="J9" s="100">
        <f t="shared" si="1"/>
        <v>23.666666666666668</v>
      </c>
      <c r="K9" s="452">
        <f>+J10+J9</f>
        <v>47.333333333333336</v>
      </c>
      <c r="L9" s="452">
        <f>+K9+L7</f>
        <v>189.33333333333334</v>
      </c>
      <c r="M9" s="112">
        <f t="shared" si="0"/>
        <v>0.63558328271133302</v>
      </c>
      <c r="O9" s="121">
        <f>+'04-07A'!J26</f>
        <v>0.37500000000000006</v>
      </c>
      <c r="P9" s="121">
        <f>+'04-07A'!J34</f>
        <v>0.33333333333333331</v>
      </c>
      <c r="Q9" s="123">
        <f t="shared" si="2"/>
        <v>0.35416666666666669</v>
      </c>
      <c r="S9" s="474">
        <f>+S7</f>
        <v>15.833333333333334</v>
      </c>
      <c r="T9" s="466">
        <f>+H9+S9</f>
        <v>39.189595179257189</v>
      </c>
      <c r="U9" s="452">
        <f t="shared" ref="U9:W9" si="11">+T9+U7</f>
        <v>182.55892035945217</v>
      </c>
      <c r="V9" s="452">
        <f t="shared" ref="V9" si="12">1850/31</f>
        <v>59.677419354838712</v>
      </c>
      <c r="W9" s="452">
        <f t="shared" si="11"/>
        <v>238.70967741935485</v>
      </c>
      <c r="X9" s="89">
        <f t="shared" si="9"/>
        <v>0.64403018728187633</v>
      </c>
      <c r="Y9" s="454">
        <f>+U9/W9</f>
        <v>0.76477385555986721</v>
      </c>
      <c r="AA9" s="249">
        <f>+G16</f>
        <v>4.7277247262756923</v>
      </c>
      <c r="AB9" s="249">
        <f>+G15</f>
        <v>17.152148139864462</v>
      </c>
    </row>
    <row r="10" spans="2:36" outlineLevel="1" x14ac:dyDescent="0.35">
      <c r="B10" s="254"/>
      <c r="C10" s="471"/>
      <c r="D10" s="88" t="s">
        <v>185</v>
      </c>
      <c r="E10" s="118">
        <v>3.3610815744438103</v>
      </c>
      <c r="F10" s="118">
        <v>4.9530425806451612</v>
      </c>
      <c r="G10" s="118">
        <f t="shared" si="3"/>
        <v>8.3141241550889724</v>
      </c>
      <c r="H10" s="473"/>
      <c r="I10" s="473"/>
      <c r="J10" s="100">
        <f t="shared" si="1"/>
        <v>23.666666666666668</v>
      </c>
      <c r="K10" s="453"/>
      <c r="L10" s="453"/>
      <c r="M10" s="112">
        <f t="shared" si="0"/>
        <v>0.35130102063756219</v>
      </c>
      <c r="O10" s="121">
        <f>+'04-07B'!J26</f>
        <v>0.29166666666666663</v>
      </c>
      <c r="P10" s="121">
        <f>+'04-07B'!J34</f>
        <v>0.36805555555555547</v>
      </c>
      <c r="Q10" s="123">
        <f t="shared" si="2"/>
        <v>0.32986111111111105</v>
      </c>
      <c r="S10" s="474"/>
      <c r="T10" s="475"/>
      <c r="U10" s="453"/>
      <c r="V10" s="453"/>
      <c r="W10" s="453"/>
      <c r="X10" s="89">
        <f>IFERROR(G10/H9,0)</f>
        <v>0.35596981271812372</v>
      </c>
      <c r="Y10" s="455"/>
      <c r="AA10" s="250">
        <f>AVERAGE(AA3:AA9)</f>
        <v>10.818821500984726</v>
      </c>
      <c r="AB10" s="230">
        <f>AVERAGE(AB3:AB9)</f>
        <v>14.596975305800161</v>
      </c>
      <c r="AE10" s="228" t="s">
        <v>283</v>
      </c>
      <c r="AF10" s="231">
        <f>+W15</f>
        <v>417.74193548387098</v>
      </c>
    </row>
    <row r="11" spans="2:36" outlineLevel="1" x14ac:dyDescent="0.35">
      <c r="B11" s="254"/>
      <c r="C11" s="456">
        <v>46208</v>
      </c>
      <c r="D11" s="113" t="s">
        <v>184</v>
      </c>
      <c r="E11" s="117">
        <v>3.0259891200000002</v>
      </c>
      <c r="F11" s="117">
        <v>6.1339354838709665</v>
      </c>
      <c r="G11" s="117">
        <f t="shared" si="3"/>
        <v>9.1599246038709659</v>
      </c>
      <c r="H11" s="458">
        <f t="shared" ref="H11" si="13">+G11+G12</f>
        <v>11.962118152258062</v>
      </c>
      <c r="I11" s="458">
        <f>+H11+I9</f>
        <v>131.18770517837689</v>
      </c>
      <c r="J11" s="115">
        <f t="shared" si="1"/>
        <v>23.666666666666668</v>
      </c>
      <c r="K11" s="462">
        <f>+J12+J11</f>
        <v>47.333333333333336</v>
      </c>
      <c r="L11" s="462">
        <f>+K11+L9</f>
        <v>236.66666666666669</v>
      </c>
      <c r="M11" s="114">
        <f t="shared" si="0"/>
        <v>0.38703906776919572</v>
      </c>
      <c r="O11" s="120">
        <f>+'05-07A'!J26</f>
        <v>0.18055555555555558</v>
      </c>
      <c r="P11" s="120">
        <f>+'05-07A'!J34</f>
        <v>0.30902777777777779</v>
      </c>
      <c r="Q11" s="122">
        <f t="shared" si="2"/>
        <v>0.24479166666666669</v>
      </c>
      <c r="S11" s="464">
        <f>+S9</f>
        <v>15.833333333333334</v>
      </c>
      <c r="T11" s="466">
        <f>+H11+S11</f>
        <v>27.795451485591396</v>
      </c>
      <c r="U11" s="462">
        <f t="shared" ref="U11:W11" si="14">+T11+U9</f>
        <v>210.35437184504357</v>
      </c>
      <c r="V11" s="462">
        <f t="shared" ref="V11" si="15">1850/31</f>
        <v>59.677419354838712</v>
      </c>
      <c r="W11" s="462">
        <f t="shared" si="14"/>
        <v>298.38709677419354</v>
      </c>
      <c r="X11" s="116">
        <f t="shared" si="9"/>
        <v>0.76574436795224832</v>
      </c>
      <c r="Y11" s="468">
        <f>+U11/W11</f>
        <v>0.7049714083455515</v>
      </c>
      <c r="AA11" s="251">
        <f>+S3/2</f>
        <v>7.916666666666667</v>
      </c>
      <c r="AB11" s="231">
        <f>+AA11</f>
        <v>7.916666666666667</v>
      </c>
      <c r="AE11" s="228" t="s">
        <v>284</v>
      </c>
      <c r="AF11" s="233">
        <f>+AF8-AF10</f>
        <v>-128.99802450304344</v>
      </c>
      <c r="AG11" s="242"/>
    </row>
    <row r="12" spans="2:36" outlineLevel="1" x14ac:dyDescent="0.35">
      <c r="B12" s="254"/>
      <c r="C12" s="495"/>
      <c r="D12" s="113" t="s">
        <v>185</v>
      </c>
      <c r="E12" s="117">
        <v>0</v>
      </c>
      <c r="F12" s="117">
        <v>2.8021935483870961</v>
      </c>
      <c r="G12" s="117">
        <f t="shared" si="3"/>
        <v>2.8021935483870961</v>
      </c>
      <c r="H12" s="491"/>
      <c r="I12" s="491"/>
      <c r="J12" s="115">
        <f t="shared" si="1"/>
        <v>23.666666666666668</v>
      </c>
      <c r="K12" s="484"/>
      <c r="L12" s="484"/>
      <c r="M12" s="114">
        <f t="shared" si="0"/>
        <v>0.11840254429804631</v>
      </c>
      <c r="O12" s="120">
        <f>+'05-07B'!J26</f>
        <v>0.32986111111111105</v>
      </c>
      <c r="P12" s="120">
        <f>+'05-07B'!J34</f>
        <v>0.29861111111111105</v>
      </c>
      <c r="Q12" s="122">
        <f t="shared" si="2"/>
        <v>0.31423611111111105</v>
      </c>
      <c r="S12" s="464"/>
      <c r="T12" s="475"/>
      <c r="U12" s="484"/>
      <c r="V12" s="484"/>
      <c r="W12" s="484"/>
      <c r="X12" s="116">
        <f>IFERROR(G12/H11,0)</f>
        <v>0.23425563204775171</v>
      </c>
      <c r="Y12" s="487"/>
      <c r="AA12" s="231">
        <f>SUM(AA10:AA11)</f>
        <v>18.735488167651393</v>
      </c>
      <c r="AB12" s="231">
        <f>SUM(AB10:AB11)</f>
        <v>22.513641972466829</v>
      </c>
      <c r="AE12" s="234" t="s">
        <v>279</v>
      </c>
      <c r="AF12" s="235">
        <f>+AF8/AF10</f>
        <v>0.6912016401857648</v>
      </c>
    </row>
    <row r="13" spans="2:36" outlineLevel="1" x14ac:dyDescent="0.35">
      <c r="B13" s="254"/>
      <c r="C13" s="470">
        <v>46209</v>
      </c>
      <c r="D13" s="88" t="s">
        <v>184</v>
      </c>
      <c r="E13" s="118">
        <v>10.796899030233883</v>
      </c>
      <c r="F13" s="118">
        <v>4.1211112574061879</v>
      </c>
      <c r="G13" s="118">
        <f t="shared" si="3"/>
        <v>14.918010287640071</v>
      </c>
      <c r="H13" s="472">
        <f t="shared" ref="H13" si="16">+G13+G14</f>
        <v>24.842999602977162</v>
      </c>
      <c r="I13" s="472">
        <f>+H13+I11</f>
        <v>156.03070478135405</v>
      </c>
      <c r="J13" s="100">
        <f t="shared" si="1"/>
        <v>23.666666666666668</v>
      </c>
      <c r="K13" s="452">
        <f>+J14+J13</f>
        <v>47.333333333333336</v>
      </c>
      <c r="L13" s="452">
        <f>+K13+L11</f>
        <v>284</v>
      </c>
      <c r="M13" s="112">
        <f t="shared" si="0"/>
        <v>0.63033846285803108</v>
      </c>
      <c r="O13" s="121">
        <f>+'06-07A'!J26</f>
        <v>0.27777777777777773</v>
      </c>
      <c r="P13" s="121">
        <f>+'06-07A'!J34</f>
        <v>0.28125000000000006</v>
      </c>
      <c r="Q13" s="123">
        <f t="shared" si="2"/>
        <v>0.2795138888888889</v>
      </c>
      <c r="S13" s="474">
        <f>+S11</f>
        <v>15.833333333333334</v>
      </c>
      <c r="T13" s="466">
        <f>+H13+S13</f>
        <v>40.676332936310494</v>
      </c>
      <c r="U13" s="452">
        <f t="shared" ref="U13:W13" si="17">+T13+U11</f>
        <v>251.03070478135407</v>
      </c>
      <c r="V13" s="452">
        <f t="shared" ref="V13" si="18">1850/31</f>
        <v>59.677419354838712</v>
      </c>
      <c r="W13" s="452">
        <f t="shared" si="17"/>
        <v>358.06451612903226</v>
      </c>
      <c r="X13" s="89">
        <f t="shared" si="9"/>
        <v>0.60049150771037774</v>
      </c>
      <c r="Y13" s="454">
        <f>+U13/W13</f>
        <v>0.70107674308306089</v>
      </c>
      <c r="AA13" s="229">
        <f>+AA12*7</f>
        <v>131.14841717355975</v>
      </c>
      <c r="AB13" s="229">
        <f>+AB12*7</f>
        <v>157.59549380726781</v>
      </c>
      <c r="AC13" s="231">
        <f>SUM(AA13:AB13)</f>
        <v>288.74391098082754</v>
      </c>
      <c r="AD13" s="99"/>
      <c r="AE13" s="449"/>
      <c r="AF13" s="451"/>
    </row>
    <row r="14" spans="2:36" outlineLevel="1" x14ac:dyDescent="0.35">
      <c r="B14" s="254"/>
      <c r="C14" s="471"/>
      <c r="D14" s="88" t="s">
        <v>185</v>
      </c>
      <c r="E14" s="118">
        <v>5.9417175217887044</v>
      </c>
      <c r="F14" s="118">
        <v>3.9832717935483872</v>
      </c>
      <c r="G14" s="118">
        <f t="shared" si="3"/>
        <v>9.9249893153370916</v>
      </c>
      <c r="H14" s="473"/>
      <c r="I14" s="473"/>
      <c r="J14" s="100">
        <f t="shared" si="1"/>
        <v>23.666666666666668</v>
      </c>
      <c r="K14" s="453"/>
      <c r="L14" s="453"/>
      <c r="M14" s="112">
        <f t="shared" si="0"/>
        <v>0.41936574571846863</v>
      </c>
      <c r="O14" s="121">
        <f>+'06-07B'!J26</f>
        <v>0.38541666666666663</v>
      </c>
      <c r="P14" s="121">
        <f>+'06-07B'!J35</f>
        <v>0.33333333333333326</v>
      </c>
      <c r="Q14" s="123">
        <f t="shared" si="2"/>
        <v>0.35937499999999994</v>
      </c>
      <c r="S14" s="474"/>
      <c r="T14" s="475"/>
      <c r="U14" s="453"/>
      <c r="V14" s="453"/>
      <c r="W14" s="453"/>
      <c r="X14" s="89">
        <f>IFERROR(G14/H13,0)</f>
        <v>0.39950849228962232</v>
      </c>
      <c r="Y14" s="455"/>
      <c r="AE14" s="450"/>
      <c r="AF14" s="451"/>
    </row>
    <row r="15" spans="2:36" outlineLevel="1" x14ac:dyDescent="0.35">
      <c r="B15" s="254"/>
      <c r="C15" s="456">
        <v>46210</v>
      </c>
      <c r="D15" s="113" t="s">
        <v>184</v>
      </c>
      <c r="E15" s="117">
        <v>12.673051365670915</v>
      </c>
      <c r="F15" s="117">
        <v>4.4790967741935477</v>
      </c>
      <c r="G15" s="117">
        <f t="shared" si="3"/>
        <v>17.152148139864462</v>
      </c>
      <c r="H15" s="458">
        <f t="shared" ref="H15" si="19">+G15+G16</f>
        <v>21.879872866140154</v>
      </c>
      <c r="I15" s="458">
        <f>+H15+I13</f>
        <v>177.91057764749419</v>
      </c>
      <c r="J15" s="115">
        <f t="shared" si="1"/>
        <v>23.666666666666668</v>
      </c>
      <c r="K15" s="462">
        <f>+J16+J15</f>
        <v>47.333333333333336</v>
      </c>
      <c r="L15" s="462">
        <f>+K15+L13</f>
        <v>331.33333333333331</v>
      </c>
      <c r="M15" s="114">
        <f t="shared" si="0"/>
        <v>0.7247386537970899</v>
      </c>
      <c r="O15" s="120">
        <f>+'07-07A'!J26</f>
        <v>0.39583333333333337</v>
      </c>
      <c r="P15" s="120">
        <f>+'07-07A'!J35</f>
        <v>0.27777777777777785</v>
      </c>
      <c r="Q15" s="122">
        <f t="shared" si="2"/>
        <v>0.33680555555555558</v>
      </c>
      <c r="S15" s="464">
        <f>+S13</f>
        <v>15.833333333333334</v>
      </c>
      <c r="T15" s="466">
        <f>+H15+S15</f>
        <v>37.71320619947349</v>
      </c>
      <c r="U15" s="462">
        <f t="shared" ref="U15:W15" si="20">+T15+U13</f>
        <v>288.74391098082754</v>
      </c>
      <c r="V15" s="462">
        <f t="shared" ref="V15" si="21">1850/31</f>
        <v>59.677419354838712</v>
      </c>
      <c r="W15" s="462">
        <f t="shared" si="20"/>
        <v>417.74193548387098</v>
      </c>
      <c r="X15" s="116">
        <f t="shared" si="9"/>
        <v>0.78392357418163949</v>
      </c>
      <c r="Y15" s="468">
        <f>+U15/W15</f>
        <v>0.6912016401857648</v>
      </c>
      <c r="AE15" s="449"/>
      <c r="AF15" s="450"/>
    </row>
    <row r="16" spans="2:36" ht="15" outlineLevel="1" thickBot="1" x14ac:dyDescent="0.4">
      <c r="B16" s="254"/>
      <c r="C16" s="457"/>
      <c r="D16" s="271" t="s">
        <v>185</v>
      </c>
      <c r="E16" s="272">
        <v>4.4790967741935477</v>
      </c>
      <c r="F16" s="272">
        <v>0.24862795208214486</v>
      </c>
      <c r="G16" s="272">
        <f t="shared" si="3"/>
        <v>4.7277247262756923</v>
      </c>
      <c r="H16" s="459"/>
      <c r="I16" s="459"/>
      <c r="J16" s="273">
        <f t="shared" si="1"/>
        <v>23.666666666666668</v>
      </c>
      <c r="K16" s="463"/>
      <c r="L16" s="463"/>
      <c r="M16" s="274">
        <f t="shared" si="0"/>
        <v>0.19976301660319826</v>
      </c>
      <c r="N16" s="263"/>
      <c r="O16" s="275">
        <f>+'07-07B'!J26</f>
        <v>0.18541666666666665</v>
      </c>
      <c r="P16" s="275">
        <f>+'07-07B'!J35</f>
        <v>0.30902777777777779</v>
      </c>
      <c r="Q16" s="276">
        <f t="shared" si="2"/>
        <v>0.24722222222222223</v>
      </c>
      <c r="R16" s="263"/>
      <c r="S16" s="465"/>
      <c r="T16" s="467"/>
      <c r="U16" s="463"/>
      <c r="V16" s="463"/>
      <c r="W16" s="463"/>
      <c r="X16" s="277">
        <f>IFERROR(G16/H15,0)</f>
        <v>0.21607642581836053</v>
      </c>
      <c r="Y16" s="469"/>
      <c r="AE16" s="450"/>
      <c r="AF16" s="450"/>
    </row>
    <row r="17" spans="2:39" x14ac:dyDescent="0.35">
      <c r="B17" s="253"/>
      <c r="C17" s="494">
        <v>46211</v>
      </c>
      <c r="D17" s="255" t="s">
        <v>184</v>
      </c>
      <c r="E17" s="256">
        <v>5.3486179262676403</v>
      </c>
      <c r="F17" s="256">
        <v>6.5888567741935491</v>
      </c>
      <c r="G17" s="256">
        <f t="shared" si="3"/>
        <v>11.937474700461189</v>
      </c>
      <c r="H17" s="497">
        <f t="shared" ref="H17" si="22">+G17+G18</f>
        <v>20.492860980765496</v>
      </c>
      <c r="I17" s="497">
        <f>+H17+I15</f>
        <v>198.40343862825969</v>
      </c>
      <c r="J17" s="257">
        <f t="shared" si="1"/>
        <v>23.666666666666668</v>
      </c>
      <c r="K17" s="485">
        <f>+J18+J17</f>
        <v>47.333333333333336</v>
      </c>
      <c r="L17" s="485">
        <f>+K17+L15</f>
        <v>378.66666666666663</v>
      </c>
      <c r="M17" s="258">
        <f t="shared" si="0"/>
        <v>0.50440033945610652</v>
      </c>
      <c r="N17" s="259"/>
      <c r="O17" s="260">
        <f>+'08-07A'!J28</f>
        <v>0.40625000000000006</v>
      </c>
      <c r="P17" s="260">
        <f>+'08-07A'!J37</f>
        <v>0.28611111111111115</v>
      </c>
      <c r="Q17" s="261">
        <f t="shared" si="2"/>
        <v>0.3461805555555556</v>
      </c>
      <c r="R17" s="259"/>
      <c r="S17" s="508">
        <f>+S15</f>
        <v>15.833333333333334</v>
      </c>
      <c r="T17" s="504">
        <f>+H17+S17</f>
        <v>36.326194314098828</v>
      </c>
      <c r="U17" s="485">
        <f t="shared" ref="U17:W17" si="23">+T17+U15</f>
        <v>325.07010529492635</v>
      </c>
      <c r="V17" s="485">
        <f t="shared" ref="V17" si="24">1850/31</f>
        <v>59.677419354838712</v>
      </c>
      <c r="W17" s="485">
        <f t="shared" si="23"/>
        <v>477.41935483870969</v>
      </c>
      <c r="X17" s="262">
        <f t="shared" si="9"/>
        <v>0.5825186981781435</v>
      </c>
      <c r="Y17" s="486">
        <f>+U17/W17</f>
        <v>0.68089008541504836</v>
      </c>
      <c r="AA17" s="286" t="s">
        <v>319</v>
      </c>
      <c r="AB17" s="304" t="s">
        <v>320</v>
      </c>
      <c r="AE17" s="243" t="s">
        <v>277</v>
      </c>
      <c r="AF17" s="244" t="s">
        <v>321</v>
      </c>
      <c r="AI17" s="234" t="s">
        <v>314</v>
      </c>
      <c r="AJ17" s="248" t="s">
        <v>313</v>
      </c>
      <c r="AL17" s="234" t="s">
        <v>417</v>
      </c>
      <c r="AM17" s="302" t="s">
        <v>418</v>
      </c>
    </row>
    <row r="18" spans="2:39" x14ac:dyDescent="0.35">
      <c r="B18" s="253"/>
      <c r="C18" s="471"/>
      <c r="D18" s="88" t="s">
        <v>185</v>
      </c>
      <c r="E18" s="118">
        <v>3.568805635143018</v>
      </c>
      <c r="F18" s="118">
        <v>4.9865806451612888</v>
      </c>
      <c r="G18" s="118">
        <f t="shared" si="3"/>
        <v>8.5553862803043064</v>
      </c>
      <c r="H18" s="473"/>
      <c r="I18" s="473"/>
      <c r="J18" s="100">
        <f t="shared" si="1"/>
        <v>23.666666666666668</v>
      </c>
      <c r="K18" s="453"/>
      <c r="L18" s="453"/>
      <c r="M18" s="112">
        <f t="shared" si="0"/>
        <v>0.36149519494243548</v>
      </c>
      <c r="O18" s="121">
        <f>+'08-07B'!J29</f>
        <v>0.33750000000000002</v>
      </c>
      <c r="P18" s="121">
        <f>+'08-07B'!J38</f>
        <v>0.22222222222222218</v>
      </c>
      <c r="Q18" s="123">
        <f t="shared" si="2"/>
        <v>0.27986111111111112</v>
      </c>
      <c r="S18" s="474"/>
      <c r="T18" s="475"/>
      <c r="U18" s="453"/>
      <c r="V18" s="453"/>
      <c r="W18" s="453"/>
      <c r="X18" s="89">
        <f>IFERROR(G18/H17,0)</f>
        <v>0.4174813018218565</v>
      </c>
      <c r="Y18" s="455"/>
      <c r="AA18" s="249">
        <f>+G17</f>
        <v>11.937474700461189</v>
      </c>
      <c r="AB18" s="249">
        <f>+G18</f>
        <v>8.5553862803043064</v>
      </c>
      <c r="AE18" s="237" t="s">
        <v>276</v>
      </c>
      <c r="AF18" s="300">
        <v>7</v>
      </c>
      <c r="AI18" s="228" t="s">
        <v>319</v>
      </c>
      <c r="AJ18" s="231">
        <f>+AA27</f>
        <v>27.025330947444179</v>
      </c>
      <c r="AL18" s="228" t="s">
        <v>414</v>
      </c>
      <c r="AM18" s="229">
        <f>+'08-07A'!I46+'08-07A'!I50+'08-07B'!I47+'08-07B'!I51+'09-07A'!I45+'09-07A'!I49+'09-07B'!I45+'09-07B'!I49+'10-07A'!I45+'10-07A'!I49+'10-07B'!I45+'10-07B'!I49+'11-07A'!I46+'11-07A'!I50+'11-07B'!I46+'11-07B'!I50+'12-07A'!I47+'12-07A'!I52+'12-07B'!I48+'12-07B'!I54+'13-07A'!I47+'13-07A'!I54+'13-07B'!I48+'13-07B'!I54+'14-07A'!I47+'14-07A'!I54+'14-07B'!I46+'14-07B'!I52</f>
        <v>21.243678720000005</v>
      </c>
    </row>
    <row r="19" spans="2:39" x14ac:dyDescent="0.35">
      <c r="B19" s="253"/>
      <c r="C19" s="456">
        <v>46212</v>
      </c>
      <c r="D19" s="113" t="s">
        <v>184</v>
      </c>
      <c r="E19" s="117">
        <v>6.6070576155162559</v>
      </c>
      <c r="F19" s="117">
        <v>6.1739931712258045</v>
      </c>
      <c r="G19" s="117">
        <f t="shared" si="3"/>
        <v>12.78105078674206</v>
      </c>
      <c r="H19" s="458">
        <f t="shared" ref="H19:H63" si="25">+G19+G20</f>
        <v>26.066163327574394</v>
      </c>
      <c r="I19" s="460">
        <f>+H19+I17</f>
        <v>224.46960195583409</v>
      </c>
      <c r="J19" s="115">
        <f t="shared" si="1"/>
        <v>23.666666666666668</v>
      </c>
      <c r="K19" s="462">
        <f>+J20+J19</f>
        <v>47.333333333333336</v>
      </c>
      <c r="L19" s="462">
        <f>+K19+L17</f>
        <v>425.99999999999994</v>
      </c>
      <c r="M19" s="114">
        <f t="shared" si="0"/>
        <v>0.54004439943980531</v>
      </c>
      <c r="O19" s="120">
        <f>+'09-07A'!J26</f>
        <v>0.42708333333333331</v>
      </c>
      <c r="P19" s="120">
        <f>+'09-07A'!J36</f>
        <v>0.3576388888888889</v>
      </c>
      <c r="Q19" s="122">
        <f t="shared" si="2"/>
        <v>0.3923611111111111</v>
      </c>
      <c r="S19" s="464">
        <f>+S17</f>
        <v>15.833333333333334</v>
      </c>
      <c r="T19" s="466">
        <f>+H19+S19</f>
        <v>41.89949666090773</v>
      </c>
      <c r="U19" s="462">
        <f t="shared" ref="U19:W19" si="26">+T19+U17</f>
        <v>366.96960195583409</v>
      </c>
      <c r="V19" s="462">
        <f t="shared" ref="V19" si="27">1850/31</f>
        <v>59.677419354838712</v>
      </c>
      <c r="W19" s="462">
        <f t="shared" si="26"/>
        <v>537.09677419354841</v>
      </c>
      <c r="X19" s="116">
        <f t="shared" si="9"/>
        <v>0.49033110957382353</v>
      </c>
      <c r="Y19" s="468">
        <f>+U19/W19</f>
        <v>0.6832467063441956</v>
      </c>
      <c r="AA19" s="249">
        <f>+G19</f>
        <v>12.78105078674206</v>
      </c>
      <c r="AB19" s="249">
        <f>+G20</f>
        <v>13.285112540832333</v>
      </c>
      <c r="AE19" s="237" t="s">
        <v>281</v>
      </c>
      <c r="AF19" s="229">
        <f>AVERAGE(H17:H30)</f>
        <v>34.750147381880211</v>
      </c>
      <c r="AI19" s="228" t="s">
        <v>320</v>
      </c>
      <c r="AJ19" s="231">
        <f>+AB27</f>
        <v>23.558149767769365</v>
      </c>
      <c r="AL19" s="228" t="s">
        <v>415</v>
      </c>
      <c r="AM19" s="249">
        <f>+AF23</f>
        <v>354.08436500649486</v>
      </c>
    </row>
    <row r="20" spans="2:39" x14ac:dyDescent="0.35">
      <c r="B20" s="253"/>
      <c r="C20" s="495"/>
      <c r="D20" s="113" t="s">
        <v>185</v>
      </c>
      <c r="E20" s="117">
        <v>9.3852093150258824</v>
      </c>
      <c r="F20" s="117">
        <v>3.8999032258064501</v>
      </c>
      <c r="G20" s="117">
        <f t="shared" si="3"/>
        <v>13.285112540832333</v>
      </c>
      <c r="H20" s="491"/>
      <c r="I20" s="496"/>
      <c r="J20" s="115">
        <f t="shared" si="1"/>
        <v>23.666666666666668</v>
      </c>
      <c r="K20" s="484"/>
      <c r="L20" s="484"/>
      <c r="M20" s="114">
        <f t="shared" si="0"/>
        <v>0.56134278341545063</v>
      </c>
      <c r="O20" s="120">
        <f>+'09-07B'!J26</f>
        <v>0.35763888888888884</v>
      </c>
      <c r="P20" s="120">
        <f>+'09-07B'!J36</f>
        <v>0.18055555555555558</v>
      </c>
      <c r="Q20" s="122">
        <f t="shared" si="2"/>
        <v>0.26909722222222221</v>
      </c>
      <c r="S20" s="464"/>
      <c r="T20" s="475"/>
      <c r="U20" s="484"/>
      <c r="V20" s="484"/>
      <c r="W20" s="484"/>
      <c r="X20" s="116">
        <f>IFERROR(G20/H19,0)</f>
        <v>0.50966889042617647</v>
      </c>
      <c r="Y20" s="487"/>
      <c r="AA20" s="249">
        <f>+G21</f>
        <v>14.215053313950277</v>
      </c>
      <c r="AB20" s="249">
        <f>+G22</f>
        <v>8.2784574248753291</v>
      </c>
      <c r="AE20" s="237" t="s">
        <v>286</v>
      </c>
      <c r="AF20" s="229">
        <f>+AF19*AF18</f>
        <v>243.25103167316149</v>
      </c>
      <c r="AI20" s="251" t="s">
        <v>318</v>
      </c>
      <c r="AJ20" s="251">
        <f>SUM(AJ18:AJ19)</f>
        <v>50.58348071521354</v>
      </c>
      <c r="AL20" s="228" t="s">
        <v>416</v>
      </c>
      <c r="AM20" s="301">
        <f>+AM19-AM18</f>
        <v>332.84068628649487</v>
      </c>
    </row>
    <row r="21" spans="2:39" x14ac:dyDescent="0.35">
      <c r="B21" s="253"/>
      <c r="C21" s="470">
        <v>46213</v>
      </c>
      <c r="D21" s="88" t="s">
        <v>184</v>
      </c>
      <c r="E21" s="292">
        <v>8.246160410724471</v>
      </c>
      <c r="F21" s="292">
        <v>5.9688929032258056</v>
      </c>
      <c r="G21" s="292">
        <f t="shared" ref="G21:G64" si="28">SUM(E21:F21)</f>
        <v>14.215053313950277</v>
      </c>
      <c r="H21" s="498">
        <f t="shared" si="25"/>
        <v>22.493510738825606</v>
      </c>
      <c r="I21" s="498">
        <f>+H21+I19</f>
        <v>246.96311269465969</v>
      </c>
      <c r="J21" s="293">
        <f t="shared" si="1"/>
        <v>23.666666666666668</v>
      </c>
      <c r="K21" s="482">
        <f>+J22+J21</f>
        <v>47.333333333333336</v>
      </c>
      <c r="L21" s="482">
        <f>+K21+L19</f>
        <v>473.33333333333326</v>
      </c>
      <c r="M21" s="294">
        <f t="shared" si="0"/>
        <v>0.60063605551902577</v>
      </c>
      <c r="O21" s="121">
        <f>+'10-07A'!J27</f>
        <v>0.40625000000000006</v>
      </c>
      <c r="P21" s="121">
        <f>+'10-07A'!J36</f>
        <v>0.40624999999999994</v>
      </c>
      <c r="Q21" s="123">
        <f t="shared" si="2"/>
        <v>0.40625</v>
      </c>
      <c r="S21" s="507">
        <f>+S19</f>
        <v>15.833333333333334</v>
      </c>
      <c r="T21" s="466">
        <f>+H21+S21</f>
        <v>38.326844072158941</v>
      </c>
      <c r="U21" s="482">
        <f t="shared" ref="U21:W21" si="29">+T21+U19</f>
        <v>405.29644602799306</v>
      </c>
      <c r="V21" s="482">
        <f t="shared" ref="V21" si="30">1850/31</f>
        <v>59.677419354838712</v>
      </c>
      <c r="W21" s="482">
        <f t="shared" si="29"/>
        <v>596.77419354838707</v>
      </c>
      <c r="X21" s="295">
        <f t="shared" si="9"/>
        <v>0.63196241258212993</v>
      </c>
      <c r="Y21" s="488">
        <f>+U21/W21</f>
        <v>0.67914539604690727</v>
      </c>
      <c r="AA21" s="249">
        <f>+G23</f>
        <v>22.502060840018405</v>
      </c>
      <c r="AB21" s="249">
        <f>+G24</f>
        <v>21.59027377951162</v>
      </c>
      <c r="AE21" s="236" t="s">
        <v>282</v>
      </c>
      <c r="AF21" s="118">
        <f>SUM(AF20)</f>
        <v>243.25103167316149</v>
      </c>
      <c r="AG21" s="248" t="s">
        <v>315</v>
      </c>
      <c r="AI21" s="251" t="s">
        <v>316</v>
      </c>
      <c r="AJ21" s="251">
        <v>7</v>
      </c>
    </row>
    <row r="22" spans="2:39" x14ac:dyDescent="0.35">
      <c r="B22" s="253"/>
      <c r="C22" s="471"/>
      <c r="D22" s="88" t="s">
        <v>185</v>
      </c>
      <c r="E22" s="292">
        <v>5.7736935539075871</v>
      </c>
      <c r="F22" s="292">
        <v>2.5047638709677416</v>
      </c>
      <c r="G22" s="292">
        <f t="shared" si="28"/>
        <v>8.2784574248753291</v>
      </c>
      <c r="H22" s="499"/>
      <c r="I22" s="499"/>
      <c r="J22" s="293">
        <f t="shared" si="1"/>
        <v>23.666666666666668</v>
      </c>
      <c r="K22" s="483"/>
      <c r="L22" s="483"/>
      <c r="M22" s="294">
        <f t="shared" si="0"/>
        <v>0.34979397569895754</v>
      </c>
      <c r="O22" s="121">
        <f>+'10-07B'!J27</f>
        <v>0.43055555555555558</v>
      </c>
      <c r="P22" s="121">
        <f>+'10-07B'!J36</f>
        <v>0.36805555555555547</v>
      </c>
      <c r="Q22" s="123">
        <f t="shared" si="2"/>
        <v>0.39930555555555552</v>
      </c>
      <c r="S22" s="507"/>
      <c r="T22" s="475"/>
      <c r="U22" s="483"/>
      <c r="V22" s="483"/>
      <c r="W22" s="483"/>
      <c r="X22" s="295">
        <f>IFERROR(G22/H21,0)</f>
        <v>0.36803758741787013</v>
      </c>
      <c r="Y22" s="489"/>
      <c r="AA22" s="249">
        <f>+G25</f>
        <v>27.370071588168486</v>
      </c>
      <c r="AB22" s="249">
        <f>+G26</f>
        <v>22.581957614882139</v>
      </c>
      <c r="AE22" s="237" t="s">
        <v>285</v>
      </c>
      <c r="AF22" s="232">
        <f>+S17*AF18</f>
        <v>110.83333333333334</v>
      </c>
      <c r="AG22" s="229">
        <f>+AF22/7</f>
        <v>15.833333333333334</v>
      </c>
      <c r="AI22" s="250" t="s">
        <v>317</v>
      </c>
      <c r="AJ22" s="250">
        <f>+AJ21*AJ20</f>
        <v>354.08436500649475</v>
      </c>
      <c r="AL22" s="228" t="s">
        <v>419</v>
      </c>
      <c r="AM22" s="303">
        <f>-AF11+AF26</f>
        <v>65.340454025667555</v>
      </c>
    </row>
    <row r="23" spans="2:39" x14ac:dyDescent="0.35">
      <c r="B23" s="253"/>
      <c r="C23" s="456">
        <v>46214</v>
      </c>
      <c r="D23" s="113" t="s">
        <v>184</v>
      </c>
      <c r="E23" s="117">
        <v>20.648641485179695</v>
      </c>
      <c r="F23" s="117">
        <v>1.8534193548387099</v>
      </c>
      <c r="G23" s="117">
        <f t="shared" si="28"/>
        <v>22.502060840018405</v>
      </c>
      <c r="H23" s="458">
        <f t="shared" si="25"/>
        <v>44.092334619530021</v>
      </c>
      <c r="I23" s="460">
        <f>+H23+I21</f>
        <v>291.05544731418968</v>
      </c>
      <c r="J23" s="115">
        <f t="shared" si="1"/>
        <v>23.666666666666668</v>
      </c>
      <c r="K23" s="462">
        <f>+J24+J23</f>
        <v>47.333333333333336</v>
      </c>
      <c r="L23" s="462">
        <f>+K23+L21</f>
        <v>520.66666666666663</v>
      </c>
      <c r="M23" s="114">
        <f t="shared" si="0"/>
        <v>0.95079130309936921</v>
      </c>
      <c r="O23" s="120">
        <f>+'11-07A'!J28</f>
        <v>0.36805555555555552</v>
      </c>
      <c r="P23" s="120">
        <f>+'11-07A'!J37</f>
        <v>0.35763888888888884</v>
      </c>
      <c r="Q23" s="122">
        <f t="shared" si="2"/>
        <v>0.36284722222222221</v>
      </c>
      <c r="S23" s="464">
        <f>+S21</f>
        <v>15.833333333333334</v>
      </c>
      <c r="T23" s="466">
        <f>+H23+S23</f>
        <v>59.925667952863357</v>
      </c>
      <c r="U23" s="462">
        <f t="shared" ref="U23:W23" si="31">+T23+U21</f>
        <v>465.22211398085642</v>
      </c>
      <c r="V23" s="462">
        <f t="shared" ref="V23" si="32">1850/31</f>
        <v>59.677419354838712</v>
      </c>
      <c r="W23" s="462">
        <f t="shared" si="31"/>
        <v>656.45161290322574</v>
      </c>
      <c r="X23" s="116">
        <f t="shared" si="9"/>
        <v>0.51033951897052565</v>
      </c>
      <c r="Y23" s="468">
        <f>+U23/W23</f>
        <v>0.70869216380376165</v>
      </c>
      <c r="AA23" s="249">
        <f>+G27</f>
        <v>25.197541654312786</v>
      </c>
      <c r="AB23" s="249">
        <f>+G28</f>
        <v>17.754884404615126</v>
      </c>
      <c r="AE23" s="236" t="s">
        <v>278</v>
      </c>
      <c r="AF23" s="118">
        <f>SUM(AF21:AF22)</f>
        <v>354.08436500649486</v>
      </c>
      <c r="AG23" s="229">
        <f>+AG22+AF19</f>
        <v>50.583480715213547</v>
      </c>
    </row>
    <row r="24" spans="2:39" x14ac:dyDescent="0.35">
      <c r="B24" s="253"/>
      <c r="C24" s="495"/>
      <c r="D24" s="113" t="s">
        <v>185</v>
      </c>
      <c r="E24" s="117">
        <v>10.888983456930974</v>
      </c>
      <c r="F24" s="117">
        <v>10.701290322580643</v>
      </c>
      <c r="G24" s="117">
        <f t="shared" si="28"/>
        <v>21.59027377951162</v>
      </c>
      <c r="H24" s="491"/>
      <c r="I24" s="496"/>
      <c r="J24" s="115">
        <f t="shared" si="1"/>
        <v>23.666666666666668</v>
      </c>
      <c r="K24" s="484"/>
      <c r="L24" s="484"/>
      <c r="M24" s="114">
        <f t="shared" si="0"/>
        <v>0.91226508927513883</v>
      </c>
      <c r="O24" s="120">
        <f>+'11-07B'!J28</f>
        <v>0.43055555555555558</v>
      </c>
      <c r="P24" s="120">
        <f>+'11-07B'!J37</f>
        <v>0.42361111111111116</v>
      </c>
      <c r="Q24" s="122">
        <f t="shared" si="2"/>
        <v>0.42708333333333337</v>
      </c>
      <c r="S24" s="464"/>
      <c r="T24" s="475"/>
      <c r="U24" s="484"/>
      <c r="V24" s="484"/>
      <c r="W24" s="484"/>
      <c r="X24" s="116">
        <f>IFERROR(G24/H23,0)</f>
        <v>0.48966048102947446</v>
      </c>
      <c r="Y24" s="487"/>
      <c r="AA24" s="249">
        <f>+G29</f>
        <v>19.757397081789374</v>
      </c>
      <c r="AB24" s="249">
        <f>+G30</f>
        <v>17.444309662698046</v>
      </c>
    </row>
    <row r="25" spans="2:39" x14ac:dyDescent="0.35">
      <c r="B25" s="253"/>
      <c r="C25" s="470">
        <v>46215</v>
      </c>
      <c r="D25" s="88" t="s">
        <v>184</v>
      </c>
      <c r="E25" s="292">
        <v>9.8829610952652569</v>
      </c>
      <c r="F25" s="292">
        <v>17.487110492903227</v>
      </c>
      <c r="G25" s="292">
        <f t="shared" si="28"/>
        <v>27.370071588168486</v>
      </c>
      <c r="H25" s="498">
        <f t="shared" si="25"/>
        <v>49.952029203050628</v>
      </c>
      <c r="I25" s="498">
        <f>+H25+I23</f>
        <v>341.00747651724032</v>
      </c>
      <c r="J25" s="293">
        <f t="shared" si="1"/>
        <v>23.666666666666668</v>
      </c>
      <c r="K25" s="482">
        <f>+J26+J25</f>
        <v>47.333333333333336</v>
      </c>
      <c r="L25" s="482">
        <f>+K25+L23</f>
        <v>568</v>
      </c>
      <c r="M25" s="294">
        <f t="shared" si="0"/>
        <v>1.156481898091626</v>
      </c>
      <c r="O25" s="121">
        <f>+'12-07A'!J28</f>
        <v>0.37152777777777773</v>
      </c>
      <c r="P25" s="121">
        <f>+'12-07A'!J38</f>
        <v>0.32638888888888884</v>
      </c>
      <c r="Q25" s="123">
        <f t="shared" si="2"/>
        <v>0.34895833333333326</v>
      </c>
      <c r="S25" s="507">
        <f>+S23</f>
        <v>15.833333333333334</v>
      </c>
      <c r="T25" s="466">
        <f>+H25+S25</f>
        <v>65.785362536383957</v>
      </c>
      <c r="U25" s="482">
        <f t="shared" ref="U25:W25" si="33">+T25+U23</f>
        <v>531.00747651724032</v>
      </c>
      <c r="V25" s="482">
        <f t="shared" ref="V25" si="34">1850/31</f>
        <v>59.677419354838712</v>
      </c>
      <c r="W25" s="482">
        <f t="shared" si="33"/>
        <v>716.1290322580644</v>
      </c>
      <c r="X25" s="295">
        <f t="shared" si="9"/>
        <v>0.54792712177740643</v>
      </c>
      <c r="Y25" s="488">
        <f>+U25/W25</f>
        <v>0.74149692666821854</v>
      </c>
      <c r="AA25" s="250">
        <f>AVERAGE(AA18:AA24)</f>
        <v>19.108664280777511</v>
      </c>
      <c r="AB25" s="230">
        <f>AVERAGE(AB18:AB24)</f>
        <v>15.641483101102699</v>
      </c>
      <c r="AE25" s="228" t="s">
        <v>283</v>
      </c>
      <c r="AF25" s="231">
        <f>+W29-W15</f>
        <v>417.74193548387075</v>
      </c>
    </row>
    <row r="26" spans="2:39" x14ac:dyDescent="0.35">
      <c r="B26" s="253"/>
      <c r="C26" s="471"/>
      <c r="D26" s="88" t="s">
        <v>185</v>
      </c>
      <c r="E26" s="292">
        <v>3.9066818026240733</v>
      </c>
      <c r="F26" s="292">
        <v>18.675275812258064</v>
      </c>
      <c r="G26" s="292">
        <f t="shared" si="28"/>
        <v>22.581957614882139</v>
      </c>
      <c r="H26" s="499"/>
      <c r="I26" s="499"/>
      <c r="J26" s="293">
        <f t="shared" si="1"/>
        <v>23.666666666666668</v>
      </c>
      <c r="K26" s="483"/>
      <c r="L26" s="483"/>
      <c r="M26" s="294">
        <f t="shared" si="0"/>
        <v>0.95416722316403402</v>
      </c>
      <c r="O26" s="121">
        <f>+'12-07B'!J28</f>
        <v>0.41666666666666663</v>
      </c>
      <c r="P26" s="121">
        <f>+'12-07B'!J39</f>
        <v>0.45833333333333326</v>
      </c>
      <c r="Q26" s="123">
        <f t="shared" si="2"/>
        <v>0.43749999999999994</v>
      </c>
      <c r="S26" s="507"/>
      <c r="T26" s="475"/>
      <c r="U26" s="483"/>
      <c r="V26" s="483"/>
      <c r="W26" s="483"/>
      <c r="X26" s="295">
        <f>IFERROR(G26/H25,0)</f>
        <v>0.45207287822259345</v>
      </c>
      <c r="Y26" s="489"/>
      <c r="AA26" s="251">
        <f>+S19/2</f>
        <v>7.916666666666667</v>
      </c>
      <c r="AB26" s="231">
        <f>+AA26</f>
        <v>7.916666666666667</v>
      </c>
      <c r="AE26" s="228" t="s">
        <v>284</v>
      </c>
      <c r="AF26" s="233">
        <f>+AF23-AF25</f>
        <v>-63.657570477375884</v>
      </c>
      <c r="AG26" s="242"/>
    </row>
    <row r="27" spans="2:39" x14ac:dyDescent="0.35">
      <c r="B27" s="253"/>
      <c r="C27" s="456">
        <v>46216</v>
      </c>
      <c r="D27" s="113" t="s">
        <v>184</v>
      </c>
      <c r="E27" s="117">
        <v>6.9976474607644032</v>
      </c>
      <c r="F27" s="117">
        <v>18.199894193548385</v>
      </c>
      <c r="G27" s="117">
        <f t="shared" si="28"/>
        <v>25.197541654312786</v>
      </c>
      <c r="H27" s="458">
        <f t="shared" si="25"/>
        <v>42.952426058927912</v>
      </c>
      <c r="I27" s="460">
        <f>+H27+I25</f>
        <v>383.95990257616825</v>
      </c>
      <c r="J27" s="115">
        <f t="shared" si="1"/>
        <v>23.666666666666668</v>
      </c>
      <c r="K27" s="462">
        <f>+J28+J27</f>
        <v>47.333333333333336</v>
      </c>
      <c r="L27" s="462">
        <f>+K27+L25</f>
        <v>615.33333333333337</v>
      </c>
      <c r="M27" s="114">
        <f t="shared" si="0"/>
        <v>1.0646848586329345</v>
      </c>
      <c r="O27" s="120">
        <f>+'13-07A'!J27</f>
        <v>0.40277777777777779</v>
      </c>
      <c r="P27" s="120">
        <f>+'13-07A'!J38</f>
        <v>0.3611111111111111</v>
      </c>
      <c r="Q27" s="122">
        <f t="shared" si="2"/>
        <v>0.38194444444444442</v>
      </c>
      <c r="S27" s="464">
        <f>+S25</f>
        <v>15.833333333333334</v>
      </c>
      <c r="T27" s="466">
        <f>+H27+S27</f>
        <v>58.785759392261248</v>
      </c>
      <c r="U27" s="462">
        <f t="shared" ref="U27:W27" si="35">+T27+U25</f>
        <v>589.79323590950162</v>
      </c>
      <c r="V27" s="462">
        <f t="shared" ref="V27" si="36">1850/31</f>
        <v>59.677419354838712</v>
      </c>
      <c r="W27" s="462">
        <f t="shared" si="35"/>
        <v>775.80645161290306</v>
      </c>
      <c r="X27" s="116">
        <f t="shared" si="9"/>
        <v>0.58663838032672266</v>
      </c>
      <c r="Y27" s="468">
        <f>+U27/W27</f>
        <v>0.76023244545507507</v>
      </c>
      <c r="AA27" s="231">
        <f>SUM(AA25:AA26)</f>
        <v>27.025330947444179</v>
      </c>
      <c r="AB27" s="231">
        <f>SUM(AB25:AB26)</f>
        <v>23.558149767769365</v>
      </c>
      <c r="AE27" s="234" t="s">
        <v>279</v>
      </c>
      <c r="AF27" s="235">
        <f>+AF23/AF25</f>
        <v>0.84761508225493021</v>
      </c>
    </row>
    <row r="28" spans="2:39" x14ac:dyDescent="0.35">
      <c r="B28" s="253"/>
      <c r="C28" s="495"/>
      <c r="D28" s="113" t="s">
        <v>185</v>
      </c>
      <c r="E28" s="117">
        <v>9.2821102110667404</v>
      </c>
      <c r="F28" s="117">
        <v>8.4727741935483856</v>
      </c>
      <c r="G28" s="117">
        <f t="shared" si="28"/>
        <v>17.754884404615126</v>
      </c>
      <c r="H28" s="491"/>
      <c r="I28" s="496"/>
      <c r="J28" s="115">
        <f t="shared" si="1"/>
        <v>23.666666666666668</v>
      </c>
      <c r="K28" s="484"/>
      <c r="L28" s="484"/>
      <c r="M28" s="114">
        <f t="shared" si="0"/>
        <v>0.75020638329359679</v>
      </c>
      <c r="O28" s="120">
        <f>+'13-07B'!J28</f>
        <v>0.30208333333333331</v>
      </c>
      <c r="P28" s="120">
        <f>+'13-07B'!J39</f>
        <v>0.10416666666666663</v>
      </c>
      <c r="Q28" s="122">
        <f t="shared" si="2"/>
        <v>0.20312499999999997</v>
      </c>
      <c r="S28" s="464"/>
      <c r="T28" s="475"/>
      <c r="U28" s="484"/>
      <c r="V28" s="484"/>
      <c r="W28" s="484"/>
      <c r="X28" s="116">
        <f>IFERROR(G28/H27,0)</f>
        <v>0.41336161967327734</v>
      </c>
      <c r="Y28" s="487"/>
      <c r="AA28" s="229">
        <f>+AA27*7</f>
        <v>189.17731663210924</v>
      </c>
      <c r="AB28" s="229">
        <f>+AB27*7</f>
        <v>164.90704837438557</v>
      </c>
      <c r="AC28" s="231">
        <f>SUM(AA28:AB28)</f>
        <v>354.08436500649481</v>
      </c>
    </row>
    <row r="29" spans="2:39" x14ac:dyDescent="0.35">
      <c r="B29" s="253"/>
      <c r="C29" s="510">
        <v>46217</v>
      </c>
      <c r="D29" s="309" t="s">
        <v>184</v>
      </c>
      <c r="E29" s="310">
        <f>+'14-07A'!I55</f>
        <v>16.680059017273244</v>
      </c>
      <c r="F29" s="310">
        <f>+'14-07A'!I51</f>
        <v>3.077338064516129</v>
      </c>
      <c r="G29" s="310">
        <f t="shared" si="28"/>
        <v>19.757397081789374</v>
      </c>
      <c r="H29" s="500">
        <f t="shared" si="25"/>
        <v>37.201706744487424</v>
      </c>
      <c r="I29" s="500">
        <f>+H29+I27</f>
        <v>421.16160932065566</v>
      </c>
      <c r="J29" s="305">
        <f t="shared" si="1"/>
        <v>23.666666666666668</v>
      </c>
      <c r="K29" s="512">
        <f>+J30+J29</f>
        <v>47.333333333333336</v>
      </c>
      <c r="L29" s="512">
        <f>+K29+L27</f>
        <v>662.66666666666674</v>
      </c>
      <c r="M29" s="311">
        <f t="shared" si="0"/>
        <v>0.83481959500518477</v>
      </c>
      <c r="N29" s="312"/>
      <c r="O29" s="313">
        <f>+'14-07A'!J27</f>
        <v>0.34027777777777785</v>
      </c>
      <c r="P29" s="313">
        <f>+'14-07A'!J38</f>
        <v>0.34722222222222215</v>
      </c>
      <c r="Q29" s="314">
        <f t="shared" si="2"/>
        <v>0.34375</v>
      </c>
      <c r="R29" s="312"/>
      <c r="S29" s="505">
        <f>+S27</f>
        <v>15.833333333333334</v>
      </c>
      <c r="T29" s="466">
        <f>+H29+S29</f>
        <v>53.03504007782076</v>
      </c>
      <c r="U29" s="512">
        <f t="shared" ref="U29:W29" si="37">+T29+U27</f>
        <v>642.8282759873224</v>
      </c>
      <c r="V29" s="512">
        <f t="shared" ref="V29" si="38">1850/31</f>
        <v>59.677419354838712</v>
      </c>
      <c r="W29" s="512">
        <f t="shared" si="37"/>
        <v>835.48387096774172</v>
      </c>
      <c r="X29" s="306">
        <f t="shared" si="9"/>
        <v>0.53108845831964524</v>
      </c>
      <c r="Y29" s="518">
        <f>+U29/W29</f>
        <v>0.7694083612203475</v>
      </c>
    </row>
    <row r="30" spans="2:39" ht="15" thickBot="1" x14ac:dyDescent="0.4">
      <c r="B30" s="253"/>
      <c r="C30" s="511"/>
      <c r="D30" s="315" t="s">
        <v>185</v>
      </c>
      <c r="E30" s="316">
        <f>+'14-07B'!I53</f>
        <v>8.817083856246434</v>
      </c>
      <c r="F30" s="316">
        <f>+'14-07B'!I49</f>
        <v>8.6272258064516123</v>
      </c>
      <c r="G30" s="316">
        <f t="shared" si="28"/>
        <v>17.444309662698046</v>
      </c>
      <c r="H30" s="501"/>
      <c r="I30" s="501"/>
      <c r="J30" s="307">
        <f t="shared" si="1"/>
        <v>23.666666666666668</v>
      </c>
      <c r="K30" s="513"/>
      <c r="L30" s="513"/>
      <c r="M30" s="317">
        <f t="shared" si="0"/>
        <v>0.73708350687456525</v>
      </c>
      <c r="N30" s="318"/>
      <c r="O30" s="319">
        <f>+'14-07B'!J28</f>
        <v>0.40972222222222232</v>
      </c>
      <c r="P30" s="319">
        <f>+'14-07B'!J37</f>
        <v>0.4027777777777779</v>
      </c>
      <c r="Q30" s="320">
        <f t="shared" si="2"/>
        <v>0.40625000000000011</v>
      </c>
      <c r="R30" s="318"/>
      <c r="S30" s="506"/>
      <c r="T30" s="467"/>
      <c r="U30" s="513"/>
      <c r="V30" s="513"/>
      <c r="W30" s="513"/>
      <c r="X30" s="308">
        <f>IFERROR(G30/H29,0)</f>
        <v>0.46891154168035465</v>
      </c>
      <c r="Y30" s="519"/>
    </row>
    <row r="31" spans="2:39" x14ac:dyDescent="0.35">
      <c r="B31" s="254"/>
      <c r="C31" s="502">
        <v>46218</v>
      </c>
      <c r="D31" s="264" t="s">
        <v>184</v>
      </c>
      <c r="E31" s="265">
        <f>'15-07A'!I55</f>
        <v>4.8840163236649259</v>
      </c>
      <c r="F31" s="265">
        <f>+'15-07B'!I52</f>
        <v>7.9892054999999997</v>
      </c>
      <c r="G31" s="265">
        <f t="shared" si="28"/>
        <v>12.873221823664926</v>
      </c>
      <c r="H31" s="490">
        <f t="shared" si="25"/>
        <v>26.775310030233882</v>
      </c>
      <c r="I31" s="490">
        <f>+H31+I29</f>
        <v>447.93691935088953</v>
      </c>
      <c r="J31" s="266">
        <f t="shared" si="1"/>
        <v>23.666666666666668</v>
      </c>
      <c r="K31" s="492">
        <f>+J32+J31</f>
        <v>47.333333333333336</v>
      </c>
      <c r="L31" s="492">
        <f>+K31+L29</f>
        <v>710.00000000000011</v>
      </c>
      <c r="M31" s="267">
        <f t="shared" si="0"/>
        <v>0.54393895029570105</v>
      </c>
      <c r="N31" s="259"/>
      <c r="O31" s="268">
        <f>'15-07A'!J27</f>
        <v>0.40625</v>
      </c>
      <c r="P31" s="268">
        <f>'15-07A'!J38</f>
        <v>0.15624999999999994</v>
      </c>
      <c r="Q31" s="269">
        <f t="shared" si="2"/>
        <v>0.28125</v>
      </c>
      <c r="R31" s="259"/>
      <c r="S31" s="503">
        <f>+S29</f>
        <v>15.833333333333334</v>
      </c>
      <c r="T31" s="504">
        <f>+H31+S31</f>
        <v>42.608643363567218</v>
      </c>
      <c r="U31" s="492">
        <f t="shared" ref="U31:W31" si="39">+T31+U29</f>
        <v>685.43691935088964</v>
      </c>
      <c r="V31" s="492">
        <f t="shared" ref="V31" si="40">1850/31</f>
        <v>59.677419354838712</v>
      </c>
      <c r="W31" s="492">
        <f t="shared" si="39"/>
        <v>895.16129032258038</v>
      </c>
      <c r="X31" s="270">
        <f t="shared" si="9"/>
        <v>0.48078703137811912</v>
      </c>
      <c r="Y31" s="493">
        <f>+U31/W31</f>
        <v>0.76571331531090392</v>
      </c>
      <c r="Z31" s="247"/>
      <c r="AA31" s="119" t="s">
        <v>311</v>
      </c>
      <c r="AB31" s="119" t="s">
        <v>312</v>
      </c>
      <c r="AC31" s="252"/>
      <c r="AE31" s="243" t="s">
        <v>277</v>
      </c>
      <c r="AF31" s="244" t="s">
        <v>280</v>
      </c>
      <c r="AI31" s="234" t="s">
        <v>314</v>
      </c>
      <c r="AJ31" s="248" t="s">
        <v>313</v>
      </c>
    </row>
    <row r="32" spans="2:39" x14ac:dyDescent="0.35">
      <c r="B32" s="254"/>
      <c r="C32" s="495"/>
      <c r="D32" s="113" t="s">
        <v>185</v>
      </c>
      <c r="E32" s="117">
        <f>'15-07B'!I56</f>
        <v>5.9128827065689595</v>
      </c>
      <c r="F32" s="117">
        <f>'15-07B'!I52</f>
        <v>7.9892054999999997</v>
      </c>
      <c r="G32" s="117">
        <f t="shared" si="28"/>
        <v>13.902088206568958</v>
      </c>
      <c r="H32" s="491"/>
      <c r="I32" s="491"/>
      <c r="J32" s="115">
        <f t="shared" si="1"/>
        <v>23.666666666666668</v>
      </c>
      <c r="K32" s="484"/>
      <c r="L32" s="484"/>
      <c r="M32" s="114">
        <f t="shared" si="0"/>
        <v>0.58741217774235033</v>
      </c>
      <c r="O32" s="120">
        <f>'15-07B'!J27</f>
        <v>0.19444444444444442</v>
      </c>
      <c r="P32" s="120">
        <f>'15-07B'!J38</f>
        <v>0</v>
      </c>
      <c r="Q32" s="122">
        <f t="shared" si="2"/>
        <v>9.722222222222221E-2</v>
      </c>
      <c r="S32" s="464"/>
      <c r="T32" s="475"/>
      <c r="U32" s="484"/>
      <c r="V32" s="484"/>
      <c r="W32" s="484"/>
      <c r="X32" s="116">
        <f>IFERROR(G32/H31,0)</f>
        <v>0.51921296862188093</v>
      </c>
      <c r="Y32" s="487"/>
      <c r="Z32" s="247"/>
      <c r="AA32" s="249">
        <f>+G31</f>
        <v>12.873221823664926</v>
      </c>
      <c r="AB32" s="249">
        <f>+G32</f>
        <v>13.902088206568958</v>
      </c>
      <c r="AE32" s="237" t="s">
        <v>276</v>
      </c>
      <c r="AF32" s="300">
        <v>7</v>
      </c>
      <c r="AI32" s="228" t="s">
        <v>311</v>
      </c>
      <c r="AJ32" s="231">
        <f>+AA41</f>
        <v>22.881636359583212</v>
      </c>
    </row>
    <row r="33" spans="2:36" x14ac:dyDescent="0.35">
      <c r="B33" s="254"/>
      <c r="C33" s="470">
        <v>46219</v>
      </c>
      <c r="D33" s="88" t="s">
        <v>184</v>
      </c>
      <c r="E33" s="118">
        <f>'16-07A'!I60</f>
        <v>13.243125761528436</v>
      </c>
      <c r="F33" s="118">
        <f>'16-07A'!I55</f>
        <v>7.9892054999999997</v>
      </c>
      <c r="G33" s="118">
        <f t="shared" si="28"/>
        <v>21.232331261528437</v>
      </c>
      <c r="H33" s="472">
        <f t="shared" si="25"/>
        <v>30.87905644207607</v>
      </c>
      <c r="I33" s="498">
        <f>+H33+I31</f>
        <v>478.81597579296562</v>
      </c>
      <c r="J33" s="100">
        <f t="shared" si="1"/>
        <v>23.666666666666668</v>
      </c>
      <c r="K33" s="452">
        <f>+J34+J33</f>
        <v>47.333333333333336</v>
      </c>
      <c r="L33" s="452">
        <f>+K33+L31</f>
        <v>757.33333333333348</v>
      </c>
      <c r="M33" s="294">
        <f t="shared" si="0"/>
        <v>0.8971407575293705</v>
      </c>
      <c r="O33" s="121">
        <f>'16-07A'!J30</f>
        <v>0.4201388888888889</v>
      </c>
      <c r="P33" s="121">
        <f>'16-07A'!J41</f>
        <v>0</v>
      </c>
      <c r="Q33" s="123">
        <f t="shared" si="2"/>
        <v>0.21006944444444445</v>
      </c>
      <c r="S33" s="507">
        <f>+S31</f>
        <v>15.833333333333334</v>
      </c>
      <c r="T33" s="466">
        <f>+H33+S33</f>
        <v>46.712389775409406</v>
      </c>
      <c r="U33" s="452">
        <f t="shared" ref="U33:W33" si="41">+T33+U31</f>
        <v>732.14930912629904</v>
      </c>
      <c r="V33" s="452">
        <f t="shared" ref="V33" si="42">1850/31</f>
        <v>59.677419354838712</v>
      </c>
      <c r="W33" s="452">
        <f t="shared" si="41"/>
        <v>954.83870967741905</v>
      </c>
      <c r="X33" s="89">
        <f t="shared" si="9"/>
        <v>0.68759650416639928</v>
      </c>
      <c r="Y33" s="488">
        <f>+U33/W33</f>
        <v>0.76677799266605673</v>
      </c>
      <c r="AA33" s="249">
        <f>+G33</f>
        <v>21.232331261528437</v>
      </c>
      <c r="AB33" s="249">
        <f>+G34</f>
        <v>9.646725180547632</v>
      </c>
      <c r="AE33" s="237" t="s">
        <v>281</v>
      </c>
      <c r="AF33" s="229">
        <f>AVERAGE(H31:H44)</f>
        <v>28.553625554306439</v>
      </c>
      <c r="AI33" s="228" t="s">
        <v>312</v>
      </c>
      <c r="AJ33" s="231">
        <f>+AB41</f>
        <v>21.50532252805656</v>
      </c>
    </row>
    <row r="34" spans="2:36" x14ac:dyDescent="0.35">
      <c r="B34" s="254"/>
      <c r="C34" s="471"/>
      <c r="D34" s="88" t="s">
        <v>185</v>
      </c>
      <c r="E34" s="118">
        <f>'16-07B'!I59</f>
        <v>1.6575196805476324</v>
      </c>
      <c r="F34" s="118">
        <f>'16-07B'!I55</f>
        <v>7.9892054999999997</v>
      </c>
      <c r="G34" s="118">
        <f t="shared" si="28"/>
        <v>9.646725180547632</v>
      </c>
      <c r="H34" s="473"/>
      <c r="I34" s="499"/>
      <c r="J34" s="100">
        <f t="shared" si="1"/>
        <v>23.666666666666668</v>
      </c>
      <c r="K34" s="453"/>
      <c r="L34" s="453"/>
      <c r="M34" s="294">
        <f t="shared" si="0"/>
        <v>0.40760810622032245</v>
      </c>
      <c r="O34" s="121">
        <f>'16-07B'!J30</f>
        <v>0.20833333333333334</v>
      </c>
      <c r="P34" s="121">
        <f>'16-07B'!J41</f>
        <v>0</v>
      </c>
      <c r="Q34" s="123">
        <f t="shared" si="2"/>
        <v>0.10416666666666667</v>
      </c>
      <c r="S34" s="507"/>
      <c r="T34" s="475"/>
      <c r="U34" s="453"/>
      <c r="V34" s="453"/>
      <c r="W34" s="453"/>
      <c r="X34" s="89">
        <f>IFERROR(G34/H33,0)</f>
        <v>0.31240349583360066</v>
      </c>
      <c r="Y34" s="489"/>
      <c r="AA34" s="249">
        <f>+G35</f>
        <v>16.198906775490563</v>
      </c>
      <c r="AB34" s="249">
        <f>+G36</f>
        <v>19.062357810325157</v>
      </c>
      <c r="AE34" s="237" t="s">
        <v>286</v>
      </c>
      <c r="AF34" s="229">
        <f>+AF33*AF32</f>
        <v>199.87537888014506</v>
      </c>
      <c r="AI34" s="251" t="s">
        <v>318</v>
      </c>
      <c r="AJ34" s="251">
        <f>SUM(AJ32:AJ33)</f>
        <v>44.386958887639771</v>
      </c>
    </row>
    <row r="35" spans="2:36" x14ac:dyDescent="0.35">
      <c r="B35" s="254"/>
      <c r="C35" s="456">
        <v>46220</v>
      </c>
      <c r="D35" s="113" t="s">
        <v>184</v>
      </c>
      <c r="E35" s="117">
        <f>'17-07A'!I60</f>
        <v>8.2097012754905627</v>
      </c>
      <c r="F35" s="117">
        <f>'17-07A'!I55</f>
        <v>7.9892054999999997</v>
      </c>
      <c r="G35" s="117">
        <f t="shared" si="28"/>
        <v>16.198906775490563</v>
      </c>
      <c r="H35" s="458">
        <f t="shared" si="25"/>
        <v>35.261264585815724</v>
      </c>
      <c r="I35" s="460">
        <f>+H35+I33</f>
        <v>514.07724037878131</v>
      </c>
      <c r="J35" s="115">
        <f t="shared" si="1"/>
        <v>23.666666666666668</v>
      </c>
      <c r="K35" s="462">
        <f>+J36+J35</f>
        <v>47.333333333333336</v>
      </c>
      <c r="L35" s="462">
        <f>+K35+L33</f>
        <v>804.66666666666686</v>
      </c>
      <c r="M35" s="114">
        <f t="shared" si="0"/>
        <v>0.68446084966861531</v>
      </c>
      <c r="O35" s="120">
        <f>'17-07A'!J30</f>
        <v>0.40972222222222221</v>
      </c>
      <c r="P35" s="120">
        <f>'17-07A'!J41</f>
        <v>0</v>
      </c>
      <c r="Q35" s="122">
        <f t="shared" si="2"/>
        <v>0.2048611111111111</v>
      </c>
      <c r="S35" s="464">
        <f>+S33</f>
        <v>15.833333333333334</v>
      </c>
      <c r="T35" s="466">
        <f>+H35+S35</f>
        <v>51.094597919149059</v>
      </c>
      <c r="U35" s="462">
        <f t="shared" ref="U35:W35" si="43">+T35+U33</f>
        <v>783.24390704544805</v>
      </c>
      <c r="V35" s="462">
        <f t="shared" ref="V35" si="44">1850/31</f>
        <v>59.677419354838712</v>
      </c>
      <c r="W35" s="462">
        <f t="shared" si="43"/>
        <v>1014.5161290322577</v>
      </c>
      <c r="X35" s="116">
        <f t="shared" si="9"/>
        <v>0.45939664858210366</v>
      </c>
      <c r="Y35" s="468">
        <f>+U35/W35</f>
        <v>0.77203691950425746</v>
      </c>
      <c r="AA35" s="249">
        <f>+G37</f>
        <v>9.6697462872219049</v>
      </c>
      <c r="AB35" s="249">
        <f>+G38</f>
        <v>18.440787930119793</v>
      </c>
      <c r="AE35" s="236" t="s">
        <v>282</v>
      </c>
      <c r="AF35" s="118">
        <f>SUM(AF34)</f>
        <v>199.87537888014506</v>
      </c>
      <c r="AG35" s="248" t="s">
        <v>315</v>
      </c>
      <c r="AI35" s="251" t="s">
        <v>316</v>
      </c>
      <c r="AJ35" s="251">
        <v>7</v>
      </c>
    </row>
    <row r="36" spans="2:36" x14ac:dyDescent="0.35">
      <c r="B36" s="254"/>
      <c r="C36" s="495"/>
      <c r="D36" s="113" t="s">
        <v>185</v>
      </c>
      <c r="E36" s="117">
        <f>'17-07B'!I59</f>
        <v>11.073152310325158</v>
      </c>
      <c r="F36" s="117">
        <f>'17-07B'!I55</f>
        <v>7.9892054999999997</v>
      </c>
      <c r="G36" s="117">
        <f t="shared" si="28"/>
        <v>19.062357810325157</v>
      </c>
      <c r="H36" s="491"/>
      <c r="I36" s="496"/>
      <c r="J36" s="115">
        <f t="shared" si="1"/>
        <v>23.666666666666668</v>
      </c>
      <c r="K36" s="484"/>
      <c r="L36" s="484"/>
      <c r="M36" s="114">
        <f t="shared" si="0"/>
        <v>0.80545173846444318</v>
      </c>
      <c r="O36" s="120">
        <f>'17-07B'!J30</f>
        <v>0.25</v>
      </c>
      <c r="P36" s="120">
        <f>'17-07B'!J41</f>
        <v>0</v>
      </c>
      <c r="Q36" s="122">
        <f t="shared" si="2"/>
        <v>0.125</v>
      </c>
      <c r="S36" s="464"/>
      <c r="T36" s="475"/>
      <c r="U36" s="484"/>
      <c r="V36" s="484"/>
      <c r="W36" s="484"/>
      <c r="X36" s="116">
        <f>IFERROR(G36/H35,0)</f>
        <v>0.54060335141789628</v>
      </c>
      <c r="Y36" s="487"/>
      <c r="AA36" s="249">
        <f>+G39</f>
        <v>20.834983024244153</v>
      </c>
      <c r="AB36" s="249">
        <f>+G40</f>
        <v>10.75173830091272</v>
      </c>
      <c r="AE36" s="237" t="s">
        <v>285</v>
      </c>
      <c r="AF36" s="232">
        <f>+S43*AF32</f>
        <v>110.83333333333334</v>
      </c>
      <c r="AG36" s="229">
        <f>+AF36/7</f>
        <v>15.833333333333334</v>
      </c>
      <c r="AI36" s="250" t="s">
        <v>317</v>
      </c>
      <c r="AJ36" s="250">
        <f>+AJ35*AJ34</f>
        <v>310.70871221347841</v>
      </c>
    </row>
    <row r="37" spans="2:36" x14ac:dyDescent="0.35">
      <c r="B37" s="254"/>
      <c r="C37" s="470">
        <v>46221</v>
      </c>
      <c r="D37" s="88" t="s">
        <v>184</v>
      </c>
      <c r="E37" s="118">
        <f>'18-07A'!I60</f>
        <v>1.6805407872219051</v>
      </c>
      <c r="F37" s="118">
        <f>'18-07A'!I56</f>
        <v>7.9892054999999997</v>
      </c>
      <c r="G37" s="118">
        <f t="shared" si="28"/>
        <v>9.6697462872219049</v>
      </c>
      <c r="H37" s="472">
        <f t="shared" si="25"/>
        <v>28.110534217341698</v>
      </c>
      <c r="I37" s="498">
        <f>+H37+I35</f>
        <v>542.18777459612306</v>
      </c>
      <c r="J37" s="100">
        <f t="shared" si="1"/>
        <v>23.666666666666668</v>
      </c>
      <c r="K37" s="452">
        <f>+J38+J37</f>
        <v>47.333333333333336</v>
      </c>
      <c r="L37" s="452">
        <f>+K37+L35</f>
        <v>852.00000000000023</v>
      </c>
      <c r="M37" s="294">
        <f t="shared" si="0"/>
        <v>0.40858082903754528</v>
      </c>
      <c r="O37" s="121">
        <f>'18-07A'!J31</f>
        <v>0.42152777777777778</v>
      </c>
      <c r="P37" s="121">
        <f>'18-07A'!J42</f>
        <v>0</v>
      </c>
      <c r="Q37" s="123">
        <f t="shared" si="2"/>
        <v>0.21076388888888889</v>
      </c>
      <c r="S37" s="507">
        <f>+S35</f>
        <v>15.833333333333334</v>
      </c>
      <c r="T37" s="466">
        <f>+H37+S37</f>
        <v>43.94386755067503</v>
      </c>
      <c r="U37" s="452">
        <f t="shared" ref="U37:W37" si="45">+T37+U35</f>
        <v>827.18777459612306</v>
      </c>
      <c r="V37" s="452">
        <f t="shared" ref="V37" si="46">1850/31</f>
        <v>59.677419354838712</v>
      </c>
      <c r="W37" s="452">
        <f t="shared" si="45"/>
        <v>1074.1935483870964</v>
      </c>
      <c r="X37" s="89">
        <f t="shared" si="9"/>
        <v>0.34399012884132713</v>
      </c>
      <c r="Y37" s="488">
        <f>+U37/W37</f>
        <v>0.77005468505945418</v>
      </c>
      <c r="AA37" s="249">
        <f>+G41</f>
        <v>15.956393178265827</v>
      </c>
      <c r="AB37" s="249">
        <f>+G42</f>
        <v>8.9463988827723906</v>
      </c>
      <c r="AE37" s="236" t="s">
        <v>278</v>
      </c>
      <c r="AF37" s="118">
        <f>SUM(AF35:AF36)</f>
        <v>310.70871221347841</v>
      </c>
      <c r="AG37" s="229">
        <f>+AG36+AF33</f>
        <v>44.386958887639771</v>
      </c>
    </row>
    <row r="38" spans="2:36" x14ac:dyDescent="0.35">
      <c r="B38" s="254"/>
      <c r="C38" s="471"/>
      <c r="D38" s="88" t="s">
        <v>185</v>
      </c>
      <c r="E38" s="118">
        <f>'18-07B'!I59</f>
        <v>10.451582430119794</v>
      </c>
      <c r="F38" s="118">
        <f>'18-07B'!I55</f>
        <v>7.9892054999999997</v>
      </c>
      <c r="G38" s="118">
        <f t="shared" si="28"/>
        <v>18.440787930119793</v>
      </c>
      <c r="H38" s="473"/>
      <c r="I38" s="499"/>
      <c r="J38" s="100">
        <f t="shared" si="1"/>
        <v>23.666666666666668</v>
      </c>
      <c r="K38" s="453"/>
      <c r="L38" s="453"/>
      <c r="M38" s="294">
        <f t="shared" si="0"/>
        <v>0.77918822239942787</v>
      </c>
      <c r="O38" s="121">
        <f>'18-07B'!J30</f>
        <v>0.34027777777777779</v>
      </c>
      <c r="P38" s="121">
        <f>'18-07B'!J41</f>
        <v>0</v>
      </c>
      <c r="Q38" s="123">
        <f t="shared" si="2"/>
        <v>0.1701388888888889</v>
      </c>
      <c r="S38" s="507"/>
      <c r="T38" s="475"/>
      <c r="U38" s="453"/>
      <c r="V38" s="453"/>
      <c r="W38" s="453"/>
      <c r="X38" s="89">
        <f>IFERROR(G38/H37,0)</f>
        <v>0.65600987115867293</v>
      </c>
      <c r="Y38" s="489"/>
      <c r="AA38" s="249">
        <f>+G43</f>
        <v>7.9892054999999997</v>
      </c>
      <c r="AB38" s="249">
        <f>+G44</f>
        <v>14.3704947184826</v>
      </c>
    </row>
    <row r="39" spans="2:36" x14ac:dyDescent="0.35">
      <c r="B39" s="254"/>
      <c r="C39" s="456">
        <v>46222</v>
      </c>
      <c r="D39" s="113" t="s">
        <v>184</v>
      </c>
      <c r="E39" s="117">
        <f>'19-07A'!I60</f>
        <v>12.845777524244152</v>
      </c>
      <c r="F39" s="117">
        <f>'19-07A'!I56</f>
        <v>7.9892054999999997</v>
      </c>
      <c r="G39" s="117">
        <f t="shared" si="28"/>
        <v>20.834983024244153</v>
      </c>
      <c r="H39" s="458">
        <f t="shared" si="25"/>
        <v>31.586721325156873</v>
      </c>
      <c r="I39" s="460">
        <f>+H39+I37</f>
        <v>573.77449592127994</v>
      </c>
      <c r="J39" s="115">
        <f t="shared" si="1"/>
        <v>23.666666666666668</v>
      </c>
      <c r="K39" s="462">
        <f>+J40+J39</f>
        <v>47.333333333333336</v>
      </c>
      <c r="L39" s="462">
        <f>+K39+L37</f>
        <v>899.3333333333336</v>
      </c>
      <c r="M39" s="114">
        <f t="shared" si="0"/>
        <v>0.88035139539059792</v>
      </c>
      <c r="O39" s="120">
        <f>'19-07A'!J31</f>
        <v>0.40625000000000006</v>
      </c>
      <c r="P39" s="120">
        <f>'19-07A'!J42</f>
        <v>0</v>
      </c>
      <c r="Q39" s="122">
        <f t="shared" si="2"/>
        <v>0.20312500000000003</v>
      </c>
      <c r="S39" s="464">
        <f>+S37</f>
        <v>15.833333333333334</v>
      </c>
      <c r="T39" s="466">
        <f>+H39+S39</f>
        <v>47.420054658490209</v>
      </c>
      <c r="U39" s="462">
        <f t="shared" ref="U39:W39" si="47">+T39+U37</f>
        <v>874.60782925461331</v>
      </c>
      <c r="V39" s="462">
        <f t="shared" ref="V39" si="48">1850/31</f>
        <v>59.677419354838712</v>
      </c>
      <c r="W39" s="462">
        <f t="shared" si="47"/>
        <v>1133.8709677419351</v>
      </c>
      <c r="X39" s="116">
        <f t="shared" ref="X39:X63" si="49">IFERROR(G39/H39,0)</f>
        <v>0.6596120822343905</v>
      </c>
      <c r="Y39" s="468">
        <f>+U39/W39</f>
        <v>0.77134687644076871</v>
      </c>
      <c r="AA39" s="250">
        <f>AVERAGE(AA32:AA38)</f>
        <v>14.964969692916544</v>
      </c>
      <c r="AB39" s="230">
        <f>AVERAGE(AB32:AB38)</f>
        <v>13.588655861389894</v>
      </c>
      <c r="AE39" s="228" t="s">
        <v>283</v>
      </c>
      <c r="AF39" s="231">
        <f>+W43-W29</f>
        <v>417.74193548387098</v>
      </c>
    </row>
    <row r="40" spans="2:36" x14ac:dyDescent="0.35">
      <c r="B40" s="254"/>
      <c r="C40" s="495"/>
      <c r="D40" s="113" t="s">
        <v>185</v>
      </c>
      <c r="E40" s="117">
        <f>'19-07B'!I56</f>
        <v>2.7625328009127208</v>
      </c>
      <c r="F40" s="117">
        <f>'19-07B'!I52</f>
        <v>7.9892054999999997</v>
      </c>
      <c r="G40" s="117">
        <f t="shared" si="28"/>
        <v>10.75173830091272</v>
      </c>
      <c r="H40" s="491"/>
      <c r="I40" s="496"/>
      <c r="J40" s="115">
        <f t="shared" si="1"/>
        <v>23.666666666666668</v>
      </c>
      <c r="K40" s="484"/>
      <c r="L40" s="484"/>
      <c r="M40" s="114">
        <f t="shared" si="0"/>
        <v>0.45429880144701634</v>
      </c>
      <c r="O40" s="120">
        <f>'19-07B'!J27</f>
        <v>0.40625000000000011</v>
      </c>
      <c r="P40" s="120">
        <f>'19-07B'!J38</f>
        <v>0</v>
      </c>
      <c r="Q40" s="122">
        <f t="shared" si="2"/>
        <v>0.20312500000000006</v>
      </c>
      <c r="S40" s="464"/>
      <c r="T40" s="475"/>
      <c r="U40" s="484"/>
      <c r="V40" s="484"/>
      <c r="W40" s="484"/>
      <c r="X40" s="116">
        <f>IFERROR(G40/H39,0)</f>
        <v>0.34038791776560945</v>
      </c>
      <c r="Y40" s="487"/>
      <c r="AA40" s="251">
        <f>+S43/2</f>
        <v>7.916666666666667</v>
      </c>
      <c r="AB40" s="231">
        <f>+AA40</f>
        <v>7.916666666666667</v>
      </c>
      <c r="AE40" s="228" t="s">
        <v>284</v>
      </c>
      <c r="AF40" s="233">
        <f>+AF37-AF39</f>
        <v>-107.03322327039257</v>
      </c>
      <c r="AG40" s="242"/>
    </row>
    <row r="41" spans="2:36" x14ac:dyDescent="0.35">
      <c r="B41" s="254"/>
      <c r="C41" s="470">
        <v>46223</v>
      </c>
      <c r="D41" s="88" t="s">
        <v>184</v>
      </c>
      <c r="E41" s="118">
        <f>+'20-07A'!I55</f>
        <v>7.9671876782658284</v>
      </c>
      <c r="F41" s="118">
        <f>+'20-07A'!I51</f>
        <v>7.9892054999999997</v>
      </c>
      <c r="G41" s="118">
        <f t="shared" si="28"/>
        <v>15.956393178265827</v>
      </c>
      <c r="H41" s="472">
        <f t="shared" si="25"/>
        <v>24.90279206103822</v>
      </c>
      <c r="I41" s="498">
        <f>+H41+I39</f>
        <v>598.67728798231815</v>
      </c>
      <c r="J41" s="100">
        <f t="shared" si="1"/>
        <v>23.666666666666668</v>
      </c>
      <c r="K41" s="452">
        <f>+J42+J41</f>
        <v>47.333333333333336</v>
      </c>
      <c r="L41" s="452">
        <f>+K41+L39</f>
        <v>946.66666666666697</v>
      </c>
      <c r="M41" s="112">
        <f t="shared" si="0"/>
        <v>0.6742137962647532</v>
      </c>
      <c r="O41" s="121">
        <f>+'20-07A'!J26</f>
        <v>0.34375</v>
      </c>
      <c r="P41" s="121">
        <f>+'20-07A'!J37</f>
        <v>0</v>
      </c>
      <c r="Q41" s="123">
        <f t="shared" si="2"/>
        <v>0.171875</v>
      </c>
      <c r="S41" s="507">
        <f>+S39</f>
        <v>15.833333333333334</v>
      </c>
      <c r="T41" s="466">
        <f>+H41+S41</f>
        <v>40.736125394371555</v>
      </c>
      <c r="U41" s="452">
        <f t="shared" ref="U41:W41" si="50">+T41+U39</f>
        <v>915.34395464898489</v>
      </c>
      <c r="V41" s="452">
        <f t="shared" ref="V41" si="51">1850/31</f>
        <v>59.677419354838712</v>
      </c>
      <c r="W41" s="452">
        <f t="shared" si="50"/>
        <v>1193.5483870967739</v>
      </c>
      <c r="X41" s="89">
        <f t="shared" si="49"/>
        <v>0.64074715554608341</v>
      </c>
      <c r="Y41" s="488">
        <f>+U41/W41</f>
        <v>0.76690979984104157</v>
      </c>
      <c r="AA41" s="231">
        <f>SUM(AA39:AA40)</f>
        <v>22.881636359583212</v>
      </c>
      <c r="AB41" s="231">
        <f>SUM(AB39:AB40)</f>
        <v>21.50532252805656</v>
      </c>
      <c r="AE41" s="234" t="s">
        <v>279</v>
      </c>
      <c r="AF41" s="235">
        <f>+AF37/AF39</f>
        <v>0.74378147325234212</v>
      </c>
    </row>
    <row r="42" spans="2:36" x14ac:dyDescent="0.35">
      <c r="B42" s="254"/>
      <c r="C42" s="471"/>
      <c r="D42" s="88" t="s">
        <v>185</v>
      </c>
      <c r="E42" s="118">
        <f>+'20-07B'!I55</f>
        <v>0.95719338277239019</v>
      </c>
      <c r="F42" s="118">
        <f>+'20-07B'!I51</f>
        <v>7.9892054999999997</v>
      </c>
      <c r="G42" s="118">
        <f t="shared" si="28"/>
        <v>8.9463988827723906</v>
      </c>
      <c r="H42" s="473"/>
      <c r="I42" s="499"/>
      <c r="J42" s="100">
        <f t="shared" si="1"/>
        <v>23.666666666666668</v>
      </c>
      <c r="K42" s="453"/>
      <c r="L42" s="453"/>
      <c r="M42" s="112">
        <f t="shared" si="0"/>
        <v>0.37801685420165027</v>
      </c>
      <c r="O42" s="121">
        <f>+'20-07B'!J26</f>
        <v>0.42013888888888895</v>
      </c>
      <c r="P42" s="121">
        <f>+'20-07B'!J37</f>
        <v>0</v>
      </c>
      <c r="Q42" s="123">
        <f t="shared" si="2"/>
        <v>0.21006944444444448</v>
      </c>
      <c r="S42" s="507"/>
      <c r="T42" s="475"/>
      <c r="U42" s="453"/>
      <c r="V42" s="453"/>
      <c r="W42" s="453"/>
      <c r="X42" s="89">
        <f>IFERROR(G42/H41,0)</f>
        <v>0.35925284445391653</v>
      </c>
      <c r="Y42" s="489"/>
      <c r="AA42" s="229">
        <f>+AA41*7</f>
        <v>160.17145451708248</v>
      </c>
      <c r="AB42" s="229">
        <f>+AB41*7</f>
        <v>150.53725769639593</v>
      </c>
      <c r="AC42" s="231">
        <f>SUM(AA42:AB42)</f>
        <v>310.70871221347841</v>
      </c>
    </row>
    <row r="43" spans="2:36" x14ac:dyDescent="0.35">
      <c r="B43" s="254"/>
      <c r="C43" s="456">
        <v>46224</v>
      </c>
      <c r="D43" s="113" t="s">
        <v>184</v>
      </c>
      <c r="E43" s="117">
        <f>+'21-07A'!I55</f>
        <v>0</v>
      </c>
      <c r="F43" s="117">
        <f>+'21-07A'!I51</f>
        <v>7.9892054999999997</v>
      </c>
      <c r="G43" s="117">
        <f t="shared" si="28"/>
        <v>7.9892054999999997</v>
      </c>
      <c r="H43" s="458">
        <f t="shared" si="25"/>
        <v>22.359700218482601</v>
      </c>
      <c r="I43" s="460">
        <f>+H43+I41</f>
        <v>621.03698820080081</v>
      </c>
      <c r="J43" s="115">
        <f t="shared" si="1"/>
        <v>23.666666666666668</v>
      </c>
      <c r="K43" s="462">
        <f>+J44+J43</f>
        <v>47.333333333333336</v>
      </c>
      <c r="L43" s="462">
        <f>+K43+L41</f>
        <v>994.00000000000034</v>
      </c>
      <c r="M43" s="114">
        <f t="shared" si="0"/>
        <v>0.33757206338028167</v>
      </c>
      <c r="O43" s="120">
        <f>+'21-07A'!J26</f>
        <v>0.44791666666666663</v>
      </c>
      <c r="P43" s="120">
        <f>+'21-07A'!J37</f>
        <v>0</v>
      </c>
      <c r="Q43" s="122">
        <f t="shared" si="2"/>
        <v>0.22395833333333331</v>
      </c>
      <c r="S43" s="464">
        <f>+S41</f>
        <v>15.833333333333334</v>
      </c>
      <c r="T43" s="466">
        <f>+H43+S43</f>
        <v>38.193033551815937</v>
      </c>
      <c r="U43" s="462">
        <f t="shared" ref="U43:W43" si="52">+T43+U41</f>
        <v>953.53698820080081</v>
      </c>
      <c r="V43" s="462">
        <f t="shared" ref="V43" si="53">1850/31</f>
        <v>59.677419354838712</v>
      </c>
      <c r="W43" s="462">
        <f t="shared" si="52"/>
        <v>1253.2258064516127</v>
      </c>
      <c r="X43" s="116">
        <f t="shared" si="49"/>
        <v>0.35730378412659114</v>
      </c>
      <c r="Y43" s="468">
        <f>+U43/W43</f>
        <v>0.7608660652310123</v>
      </c>
    </row>
    <row r="44" spans="2:36" ht="15" thickBot="1" x14ac:dyDescent="0.4">
      <c r="B44" s="254"/>
      <c r="C44" s="457"/>
      <c r="D44" s="271" t="s">
        <v>185</v>
      </c>
      <c r="E44" s="272">
        <f>+'21-07B'!I55</f>
        <v>6.3812892184826016</v>
      </c>
      <c r="F44" s="272">
        <f>+'21-07B'!I51</f>
        <v>7.9892054999999997</v>
      </c>
      <c r="G44" s="272">
        <f t="shared" si="28"/>
        <v>14.3704947184826</v>
      </c>
      <c r="H44" s="459"/>
      <c r="I44" s="461"/>
      <c r="J44" s="273">
        <f t="shared" si="1"/>
        <v>23.666666666666668</v>
      </c>
      <c r="K44" s="463"/>
      <c r="L44" s="463"/>
      <c r="M44" s="274">
        <f t="shared" si="0"/>
        <v>0.60720400218940562</v>
      </c>
      <c r="N44" s="263"/>
      <c r="O44" s="275">
        <f>+'21-07B'!J26</f>
        <v>0.42708333333333337</v>
      </c>
      <c r="P44" s="275">
        <f>+'21-07B'!J37</f>
        <v>0</v>
      </c>
      <c r="Q44" s="276">
        <f t="shared" si="2"/>
        <v>0.21354166666666669</v>
      </c>
      <c r="R44" s="263"/>
      <c r="S44" s="465"/>
      <c r="T44" s="467"/>
      <c r="U44" s="463"/>
      <c r="V44" s="463"/>
      <c r="W44" s="463"/>
      <c r="X44" s="277">
        <f>IFERROR(G44/H43,0)</f>
        <v>0.64269621587340886</v>
      </c>
      <c r="Y44" s="469"/>
      <c r="Z44" s="321"/>
      <c r="AA44" s="247"/>
    </row>
    <row r="45" spans="2:36" x14ac:dyDescent="0.35">
      <c r="B45" s="253"/>
      <c r="C45" s="494">
        <v>46225</v>
      </c>
      <c r="D45" s="255" t="s">
        <v>184</v>
      </c>
      <c r="E45" s="256">
        <f>+'22-07A'!I55</f>
        <v>0</v>
      </c>
      <c r="F45" s="256">
        <f>+'22-07A'!I51</f>
        <v>7.9892054999999997</v>
      </c>
      <c r="G45" s="256">
        <f t="shared" si="28"/>
        <v>7.9892054999999997</v>
      </c>
      <c r="H45" s="497">
        <f t="shared" si="25"/>
        <v>15.978410999999999</v>
      </c>
      <c r="I45" s="497">
        <f>+H45+I43</f>
        <v>637.01539920080086</v>
      </c>
      <c r="J45" s="257">
        <f t="shared" si="1"/>
        <v>23.666666666666668</v>
      </c>
      <c r="K45" s="485">
        <f>+J46+J45</f>
        <v>47.333333333333336</v>
      </c>
      <c r="L45" s="485">
        <f>+K45+L43</f>
        <v>1041.3333333333337</v>
      </c>
      <c r="M45" s="258">
        <f t="shared" si="0"/>
        <v>0.33757206338028167</v>
      </c>
      <c r="N45" s="259"/>
      <c r="O45" s="260">
        <f>+'22-07A'!J26</f>
        <v>0.34375</v>
      </c>
      <c r="P45" s="260">
        <f>+'22-07A'!J37</f>
        <v>0</v>
      </c>
      <c r="Q45" s="261">
        <f t="shared" si="2"/>
        <v>0.171875</v>
      </c>
      <c r="R45" s="259"/>
      <c r="S45" s="508">
        <f>+S43</f>
        <v>15.833333333333334</v>
      </c>
      <c r="T45" s="504">
        <f>+H45+S45</f>
        <v>31.811744333333333</v>
      </c>
      <c r="U45" s="485">
        <f t="shared" ref="U45:W45" si="54">+T45+U43</f>
        <v>985.34873253413411</v>
      </c>
      <c r="V45" s="485">
        <f t="shared" ref="V45" si="55">1850/31</f>
        <v>59.677419354838712</v>
      </c>
      <c r="W45" s="485">
        <f t="shared" si="54"/>
        <v>1312.9032258064515</v>
      </c>
      <c r="X45" s="262">
        <f t="shared" si="49"/>
        <v>0.5</v>
      </c>
      <c r="Y45" s="486">
        <f>+U45/W45</f>
        <v>0.75051131962059359</v>
      </c>
      <c r="AA45" s="119" t="s">
        <v>311</v>
      </c>
      <c r="AB45" s="119" t="s">
        <v>312</v>
      </c>
      <c r="AC45" s="252"/>
      <c r="AD45" s="38"/>
      <c r="AE45" s="243" t="s">
        <v>277</v>
      </c>
      <c r="AF45" s="244" t="s">
        <v>280</v>
      </c>
      <c r="AI45" s="234" t="s">
        <v>314</v>
      </c>
      <c r="AJ45" s="248" t="s">
        <v>313</v>
      </c>
    </row>
    <row r="46" spans="2:36" x14ac:dyDescent="0.35">
      <c r="B46" s="253"/>
      <c r="C46" s="471"/>
      <c r="D46" s="88" t="s">
        <v>185</v>
      </c>
      <c r="E46" s="118">
        <f>+'22-07B '!I53</f>
        <v>0</v>
      </c>
      <c r="F46" s="118">
        <f>+'22-07B '!I49</f>
        <v>7.9892054999999997</v>
      </c>
      <c r="G46" s="118">
        <f t="shared" si="28"/>
        <v>7.9892054999999997</v>
      </c>
      <c r="H46" s="473"/>
      <c r="I46" s="473"/>
      <c r="J46" s="100">
        <f t="shared" si="1"/>
        <v>23.666666666666668</v>
      </c>
      <c r="K46" s="453"/>
      <c r="L46" s="453"/>
      <c r="M46" s="112">
        <f t="shared" si="0"/>
        <v>0.33757206338028167</v>
      </c>
      <c r="O46" s="121">
        <f>+'22-07B '!J24</f>
        <v>0.42013888888888884</v>
      </c>
      <c r="P46" s="121">
        <f>+'22-07B '!J35</f>
        <v>0</v>
      </c>
      <c r="Q46" s="123">
        <f t="shared" si="2"/>
        <v>0.21006944444444442</v>
      </c>
      <c r="S46" s="474"/>
      <c r="T46" s="475"/>
      <c r="U46" s="453"/>
      <c r="V46" s="453"/>
      <c r="W46" s="453"/>
      <c r="X46" s="89">
        <f>IFERROR(G46/H45,0)</f>
        <v>0.5</v>
      </c>
      <c r="Y46" s="455"/>
      <c r="AA46" s="249">
        <f>+G45</f>
        <v>7.9892054999999997</v>
      </c>
      <c r="AB46" s="249">
        <f>+G46</f>
        <v>7.9892054999999997</v>
      </c>
      <c r="AE46" s="237" t="s">
        <v>276</v>
      </c>
      <c r="AF46" s="300">
        <v>7</v>
      </c>
      <c r="AI46" s="228" t="s">
        <v>311</v>
      </c>
      <c r="AJ46" s="231">
        <f>+AA55</f>
        <v>18.25530314505243</v>
      </c>
    </row>
    <row r="47" spans="2:36" x14ac:dyDescent="0.35">
      <c r="B47" s="253"/>
      <c r="C47" s="456">
        <v>46226</v>
      </c>
      <c r="D47" s="113" t="s">
        <v>184</v>
      </c>
      <c r="E47" s="117">
        <f>+'23-07A '!I56</f>
        <v>4.9003993154592127</v>
      </c>
      <c r="F47" s="117">
        <f>+'23-07A '!I52</f>
        <v>7.9892054999999997</v>
      </c>
      <c r="G47" s="117">
        <f t="shared" si="28"/>
        <v>12.889604815459212</v>
      </c>
      <c r="H47" s="458">
        <f t="shared" si="25"/>
        <v>21.229504759903655</v>
      </c>
      <c r="I47" s="460">
        <f>+H47+I45</f>
        <v>658.24490396070451</v>
      </c>
      <c r="J47" s="115">
        <f t="shared" si="1"/>
        <v>23.666666666666668</v>
      </c>
      <c r="K47" s="462">
        <f>+J48+J47</f>
        <v>47.333333333333336</v>
      </c>
      <c r="L47" s="462">
        <f>+K47+L45</f>
        <v>1088.666666666667</v>
      </c>
      <c r="M47" s="114">
        <f t="shared" si="0"/>
        <v>0.54463118938560051</v>
      </c>
      <c r="O47" s="120">
        <f>+'23-07A '!J27</f>
        <v>0.39583333333333331</v>
      </c>
      <c r="P47" s="120">
        <f>+'23-07A '!J38</f>
        <v>0</v>
      </c>
      <c r="Q47" s="122">
        <f t="shared" si="2"/>
        <v>0.19791666666666666</v>
      </c>
      <c r="S47" s="464">
        <f>+S45</f>
        <v>15.833333333333334</v>
      </c>
      <c r="T47" s="466">
        <f>+H47+S47</f>
        <v>37.062838093236991</v>
      </c>
      <c r="U47" s="462">
        <f t="shared" ref="U47:W47" si="56">+T47+U45</f>
        <v>1022.4115706273711</v>
      </c>
      <c r="V47" s="462">
        <f t="shared" ref="V47" si="57">1850/31</f>
        <v>59.677419354838712</v>
      </c>
      <c r="W47" s="462">
        <f t="shared" si="56"/>
        <v>1372.5806451612902</v>
      </c>
      <c r="X47" s="116">
        <f t="shared" si="49"/>
        <v>0.60715522859505966</v>
      </c>
      <c r="Y47" s="468">
        <f>+U47/W47</f>
        <v>0.74488269540419527</v>
      </c>
      <c r="AA47" s="249">
        <f>+G47</f>
        <v>12.889604815459212</v>
      </c>
      <c r="AB47" s="249">
        <f>+G48</f>
        <v>8.3398999444444435</v>
      </c>
      <c r="AE47" s="237" t="s">
        <v>281</v>
      </c>
      <c r="AF47" s="229">
        <f>AVERAGE(H45:H58)</f>
        <v>18.377941184734969</v>
      </c>
      <c r="AI47" s="228" t="s">
        <v>312</v>
      </c>
      <c r="AJ47" s="231">
        <f>+AB55</f>
        <v>15.955971373015871</v>
      </c>
    </row>
    <row r="48" spans="2:36" x14ac:dyDescent="0.35">
      <c r="B48" s="253"/>
      <c r="C48" s="495"/>
      <c r="D48" s="113" t="s">
        <v>185</v>
      </c>
      <c r="E48" s="117">
        <f>+'23-07B'!J25</f>
        <v>0.35069444444444442</v>
      </c>
      <c r="F48" s="117">
        <f>+'23-07B'!I50</f>
        <v>7.9892054999999997</v>
      </c>
      <c r="G48" s="117">
        <f t="shared" si="28"/>
        <v>8.3398999444444435</v>
      </c>
      <c r="H48" s="491"/>
      <c r="I48" s="496"/>
      <c r="J48" s="115">
        <f t="shared" si="1"/>
        <v>23.666666666666668</v>
      </c>
      <c r="K48" s="484"/>
      <c r="L48" s="484"/>
      <c r="M48" s="114">
        <f t="shared" si="0"/>
        <v>0.35239013849765255</v>
      </c>
      <c r="O48" s="120">
        <f>+'23-07B'!J25</f>
        <v>0.35069444444444442</v>
      </c>
      <c r="P48" s="120">
        <f>+'23-07B'!J36</f>
        <v>0</v>
      </c>
      <c r="Q48" s="122">
        <f t="shared" si="2"/>
        <v>0.17534722222222221</v>
      </c>
      <c r="S48" s="464"/>
      <c r="T48" s="475"/>
      <c r="U48" s="484"/>
      <c r="V48" s="484"/>
      <c r="W48" s="484"/>
      <c r="X48" s="116">
        <f>IFERROR(G48/H47,0)</f>
        <v>0.39284477140494029</v>
      </c>
      <c r="Y48" s="487"/>
      <c r="AA48" s="249">
        <f>+G49</f>
        <v>7.9892054999999997</v>
      </c>
      <c r="AB48" s="249">
        <f>+G50</f>
        <v>7.9892054999999997</v>
      </c>
      <c r="AE48" s="237" t="s">
        <v>286</v>
      </c>
      <c r="AF48" s="229">
        <f>+AF47*AF46</f>
        <v>128.64558829314478</v>
      </c>
      <c r="AI48" s="251" t="s">
        <v>318</v>
      </c>
      <c r="AJ48" s="251">
        <f>SUM(AJ46:AJ47)</f>
        <v>34.211274518068301</v>
      </c>
    </row>
    <row r="49" spans="2:36" x14ac:dyDescent="0.35">
      <c r="B49" s="253"/>
      <c r="C49" s="470">
        <v>46227</v>
      </c>
      <c r="D49" s="88" t="s">
        <v>184</v>
      </c>
      <c r="E49" s="118">
        <f>+'24-07A'!I56</f>
        <v>0</v>
      </c>
      <c r="F49" s="118">
        <f>+'24-07A'!I52</f>
        <v>7.9892054999999997</v>
      </c>
      <c r="G49" s="118">
        <f t="shared" si="28"/>
        <v>7.9892054999999997</v>
      </c>
      <c r="H49" s="472">
        <f t="shared" si="25"/>
        <v>15.978410999999999</v>
      </c>
      <c r="I49" s="498">
        <f>+H49+I47</f>
        <v>674.22331496070456</v>
      </c>
      <c r="J49" s="100">
        <f t="shared" si="1"/>
        <v>23.666666666666668</v>
      </c>
      <c r="K49" s="452">
        <f>+J50+J49</f>
        <v>47.333333333333336</v>
      </c>
      <c r="L49" s="452">
        <f>+K49+L47</f>
        <v>1136.0000000000002</v>
      </c>
      <c r="M49" s="112">
        <f t="shared" si="0"/>
        <v>0.33757206338028167</v>
      </c>
      <c r="O49" s="121">
        <f>+'24-07A'!J27</f>
        <v>0.39930555555555558</v>
      </c>
      <c r="P49" s="121">
        <f>+'24-07A'!J38</f>
        <v>0</v>
      </c>
      <c r="Q49" s="123">
        <f t="shared" si="2"/>
        <v>0.19965277777777779</v>
      </c>
      <c r="S49" s="474">
        <f>+S47</f>
        <v>15.833333333333334</v>
      </c>
      <c r="T49" s="466">
        <f>+H49+S49</f>
        <v>31.811744333333333</v>
      </c>
      <c r="U49" s="452">
        <f t="shared" ref="U49:W49" si="58">+T49+U47</f>
        <v>1054.2233149607046</v>
      </c>
      <c r="V49" s="452">
        <f t="shared" ref="V49" si="59">1850/31</f>
        <v>59.677419354838712</v>
      </c>
      <c r="W49" s="452">
        <f t="shared" si="58"/>
        <v>1432.258064516129</v>
      </c>
      <c r="X49" s="89">
        <f t="shared" si="49"/>
        <v>0.5</v>
      </c>
      <c r="Y49" s="454">
        <f>+U49/W49</f>
        <v>0.73605681900409548</v>
      </c>
      <c r="AA49" s="249">
        <f>+G51</f>
        <v>7.9892054999999997</v>
      </c>
      <c r="AB49" s="249">
        <f>+G52</f>
        <v>7.9892054999999997</v>
      </c>
      <c r="AE49" s="236" t="s">
        <v>282</v>
      </c>
      <c r="AF49" s="118">
        <f>SUM(AF48)</f>
        <v>128.64558829314478</v>
      </c>
      <c r="AG49" s="248" t="s">
        <v>315</v>
      </c>
      <c r="AI49" s="251" t="s">
        <v>316</v>
      </c>
      <c r="AJ49" s="251">
        <v>7</v>
      </c>
    </row>
    <row r="50" spans="2:36" x14ac:dyDescent="0.35">
      <c r="B50" s="253"/>
      <c r="C50" s="471"/>
      <c r="D50" s="88" t="s">
        <v>185</v>
      </c>
      <c r="E50" s="118">
        <f>+'24-07B'!I54</f>
        <v>0</v>
      </c>
      <c r="F50" s="118">
        <f>+'24-07B'!I50</f>
        <v>7.9892054999999997</v>
      </c>
      <c r="G50" s="118">
        <f t="shared" si="28"/>
        <v>7.9892054999999997</v>
      </c>
      <c r="H50" s="473"/>
      <c r="I50" s="499"/>
      <c r="J50" s="100">
        <f t="shared" si="1"/>
        <v>23.666666666666668</v>
      </c>
      <c r="K50" s="453"/>
      <c r="L50" s="453"/>
      <c r="M50" s="112">
        <f t="shared" si="0"/>
        <v>0.33757206338028167</v>
      </c>
      <c r="O50" s="121">
        <f>+'24-07B'!J25</f>
        <v>0.3354166666666667</v>
      </c>
      <c r="P50" s="121">
        <f>+'24-07B'!J36</f>
        <v>0</v>
      </c>
      <c r="Q50" s="123">
        <f t="shared" si="2"/>
        <v>0.16770833333333335</v>
      </c>
      <c r="S50" s="474"/>
      <c r="T50" s="475"/>
      <c r="U50" s="453"/>
      <c r="V50" s="453"/>
      <c r="W50" s="453"/>
      <c r="X50" s="89">
        <f>IFERROR(G50/H49,0)</f>
        <v>0.5</v>
      </c>
      <c r="Y50" s="455"/>
      <c r="AA50" s="249">
        <f>+G53</f>
        <v>7.9892054999999997</v>
      </c>
      <c r="AB50" s="249">
        <f>+G54</f>
        <v>7.9892054999999997</v>
      </c>
      <c r="AE50" s="237" t="s">
        <v>285</v>
      </c>
      <c r="AF50" s="232">
        <f>+S57*AF46</f>
        <v>110.83333333333334</v>
      </c>
      <c r="AG50" s="229">
        <f>+AF50/7</f>
        <v>15.833333333333334</v>
      </c>
      <c r="AI50" s="250" t="s">
        <v>317</v>
      </c>
      <c r="AJ50" s="250">
        <f>+AJ49*AJ48</f>
        <v>239.4789216264781</v>
      </c>
    </row>
    <row r="51" spans="2:36" x14ac:dyDescent="0.35">
      <c r="B51" s="253"/>
      <c r="C51" s="456">
        <v>46228</v>
      </c>
      <c r="D51" s="113" t="s">
        <v>184</v>
      </c>
      <c r="E51" s="117">
        <f>'25-07A'!I56</f>
        <v>0</v>
      </c>
      <c r="F51" s="117">
        <f>'25-07A'!I52</f>
        <v>7.9892054999999997</v>
      </c>
      <c r="G51" s="117">
        <f t="shared" si="28"/>
        <v>7.9892054999999997</v>
      </c>
      <c r="H51" s="458">
        <f t="shared" si="25"/>
        <v>15.978410999999999</v>
      </c>
      <c r="I51" s="460">
        <f>+H51+I49</f>
        <v>690.20172596070461</v>
      </c>
      <c r="J51" s="115">
        <f t="shared" si="1"/>
        <v>23.666666666666668</v>
      </c>
      <c r="K51" s="462">
        <f>+J52+J51</f>
        <v>47.333333333333336</v>
      </c>
      <c r="L51" s="462">
        <f>+K51+L49</f>
        <v>1183.3333333333335</v>
      </c>
      <c r="M51" s="114">
        <f t="shared" si="0"/>
        <v>0.33757206338028167</v>
      </c>
      <c r="O51" s="120">
        <f>'25-07A'!J27</f>
        <v>0.35416666666666669</v>
      </c>
      <c r="P51" s="120">
        <f>+'25-07A'!J38</f>
        <v>0</v>
      </c>
      <c r="Q51" s="122">
        <f t="shared" si="2"/>
        <v>0.17708333333333334</v>
      </c>
      <c r="S51" s="464">
        <f>+S49</f>
        <v>15.833333333333334</v>
      </c>
      <c r="T51" s="466">
        <f>+H51+S51</f>
        <v>31.811744333333333</v>
      </c>
      <c r="U51" s="462">
        <f t="shared" ref="U51:W51" si="60">+T51+U49</f>
        <v>1086.0350592940379</v>
      </c>
      <c r="V51" s="462">
        <f t="shared" ref="V51" si="61">1850/31</f>
        <v>59.677419354838712</v>
      </c>
      <c r="W51" s="462">
        <f t="shared" si="60"/>
        <v>1491.9354838709678</v>
      </c>
      <c r="X51" s="116">
        <f t="shared" si="49"/>
        <v>0.5</v>
      </c>
      <c r="Y51" s="468">
        <f>+U51/W51</f>
        <v>0.72793701271600375</v>
      </c>
      <c r="AA51" s="249">
        <f>+G55</f>
        <v>7.9892054999999997</v>
      </c>
      <c r="AB51" s="249">
        <f>+G56</f>
        <v>7.9892054999999997</v>
      </c>
      <c r="AE51" s="236" t="s">
        <v>278</v>
      </c>
      <c r="AF51" s="118">
        <f>SUM(AF49:AF50)</f>
        <v>239.47892162647813</v>
      </c>
      <c r="AG51" s="229">
        <f>+AG50+AF47</f>
        <v>34.211274518068301</v>
      </c>
    </row>
    <row r="52" spans="2:36" x14ac:dyDescent="0.35">
      <c r="B52" s="253"/>
      <c r="C52" s="495"/>
      <c r="D52" s="113" t="s">
        <v>185</v>
      </c>
      <c r="E52" s="117">
        <f>'25-07B'!I54</f>
        <v>0</v>
      </c>
      <c r="F52" s="117">
        <f>'25-07B'!I50</f>
        <v>7.9892054999999997</v>
      </c>
      <c r="G52" s="117">
        <f t="shared" si="28"/>
        <v>7.9892054999999997</v>
      </c>
      <c r="H52" s="491"/>
      <c r="I52" s="496"/>
      <c r="J52" s="115">
        <f t="shared" si="1"/>
        <v>23.666666666666668</v>
      </c>
      <c r="K52" s="484"/>
      <c r="L52" s="484"/>
      <c r="M52" s="114">
        <f t="shared" si="0"/>
        <v>0.33757206338028167</v>
      </c>
      <c r="O52" s="120">
        <f>'25-07B'!J25</f>
        <v>0.31249999999999989</v>
      </c>
      <c r="P52" s="120">
        <f>+'25-07B'!J36</f>
        <v>0</v>
      </c>
      <c r="Q52" s="122">
        <f t="shared" si="2"/>
        <v>0.15624999999999994</v>
      </c>
      <c r="S52" s="464"/>
      <c r="T52" s="475"/>
      <c r="U52" s="484"/>
      <c r="V52" s="484"/>
      <c r="W52" s="484"/>
      <c r="X52" s="116">
        <f>IFERROR(G52/H51,0)</f>
        <v>0.5</v>
      </c>
      <c r="Y52" s="487"/>
      <c r="AA52" s="249">
        <f>+G57</f>
        <v>19.534823033241121</v>
      </c>
      <c r="AB52" s="249">
        <f>+G58</f>
        <v>7.9892054999999997</v>
      </c>
    </row>
    <row r="53" spans="2:36" x14ac:dyDescent="0.35">
      <c r="B53" s="253"/>
      <c r="C53" s="470">
        <v>46229</v>
      </c>
      <c r="D53" s="88" t="s">
        <v>184</v>
      </c>
      <c r="E53" s="118">
        <f>+'26-07A'!I56</f>
        <v>0</v>
      </c>
      <c r="F53" s="118">
        <f>+'26-07A'!I52</f>
        <v>7.9892054999999997</v>
      </c>
      <c r="G53" s="118">
        <f t="shared" si="28"/>
        <v>7.9892054999999997</v>
      </c>
      <c r="H53" s="472">
        <f t="shared" si="25"/>
        <v>15.978410999999999</v>
      </c>
      <c r="I53" s="498">
        <f>+H53+I51</f>
        <v>706.18013696070466</v>
      </c>
      <c r="J53" s="100">
        <f t="shared" si="1"/>
        <v>23.666666666666668</v>
      </c>
      <c r="K53" s="452">
        <f>+J54+J53</f>
        <v>47.333333333333336</v>
      </c>
      <c r="L53" s="452">
        <f>+K53+L51</f>
        <v>1230.6666666666667</v>
      </c>
      <c r="M53" s="112">
        <f t="shared" si="0"/>
        <v>0.33757206338028167</v>
      </c>
      <c r="O53" s="121">
        <f>+'26-07A'!J27</f>
        <v>0.3888888888888889</v>
      </c>
      <c r="P53" s="121">
        <f>+'26-07A'!J38</f>
        <v>0</v>
      </c>
      <c r="Q53" s="123">
        <f t="shared" si="2"/>
        <v>0.19444444444444445</v>
      </c>
      <c r="S53" s="474">
        <f>+S51</f>
        <v>15.833333333333334</v>
      </c>
      <c r="T53" s="466">
        <f>+H53+S53</f>
        <v>31.811744333333333</v>
      </c>
      <c r="U53" s="452">
        <f t="shared" ref="U53:W53" si="62">+T53+U51</f>
        <v>1117.8468036273712</v>
      </c>
      <c r="V53" s="452">
        <f t="shared" ref="V53" si="63">1850/31</f>
        <v>59.677419354838712</v>
      </c>
      <c r="W53" s="452">
        <f t="shared" si="62"/>
        <v>1551.6129032258066</v>
      </c>
      <c r="X53" s="89">
        <f t="shared" si="49"/>
        <v>0.5</v>
      </c>
      <c r="Y53" s="454">
        <f>+U53/W53</f>
        <v>0.7204418069116113</v>
      </c>
      <c r="AA53" s="250">
        <f>AVERAGE(AA46:AA52)</f>
        <v>10.338636478385762</v>
      </c>
      <c r="AB53" s="230">
        <f>AVERAGE(AB46:AB52)</f>
        <v>8.0393047063492045</v>
      </c>
      <c r="AE53" s="228" t="s">
        <v>283</v>
      </c>
      <c r="AF53" s="231">
        <f>+W57-W43</f>
        <v>417.74193548387143</v>
      </c>
    </row>
    <row r="54" spans="2:36" x14ac:dyDescent="0.35">
      <c r="B54" s="253"/>
      <c r="C54" s="471"/>
      <c r="D54" s="88" t="s">
        <v>185</v>
      </c>
      <c r="E54" s="118">
        <f>+'26-07B'!I54</f>
        <v>0</v>
      </c>
      <c r="F54" s="118">
        <f>+'26-07B'!I50</f>
        <v>7.9892054999999997</v>
      </c>
      <c r="G54" s="118">
        <f t="shared" si="28"/>
        <v>7.9892054999999997</v>
      </c>
      <c r="H54" s="473"/>
      <c r="I54" s="499"/>
      <c r="J54" s="100">
        <f t="shared" si="1"/>
        <v>23.666666666666668</v>
      </c>
      <c r="K54" s="453"/>
      <c r="L54" s="453"/>
      <c r="M54" s="112">
        <f t="shared" si="0"/>
        <v>0.33757206338028167</v>
      </c>
      <c r="O54" s="121">
        <f>+'26-07B'!J25</f>
        <v>0.37847222222222221</v>
      </c>
      <c r="P54" s="121">
        <f>+'26-07B'!J36</f>
        <v>0</v>
      </c>
      <c r="Q54" s="123">
        <f t="shared" si="2"/>
        <v>0.1892361111111111</v>
      </c>
      <c r="S54" s="474"/>
      <c r="T54" s="475"/>
      <c r="U54" s="453"/>
      <c r="V54" s="453"/>
      <c r="W54" s="453"/>
      <c r="X54" s="89">
        <f>IFERROR(G54/H53,0)</f>
        <v>0.5</v>
      </c>
      <c r="Y54" s="455"/>
      <c r="Z54" s="321"/>
      <c r="AA54" s="251">
        <f>+S57/2</f>
        <v>7.916666666666667</v>
      </c>
      <c r="AB54" s="231">
        <f>+AA54</f>
        <v>7.916666666666667</v>
      </c>
      <c r="AE54" s="228" t="s">
        <v>284</v>
      </c>
      <c r="AF54" s="233">
        <f>+AF51-AF53</f>
        <v>-178.2630138573933</v>
      </c>
      <c r="AG54" s="242"/>
    </row>
    <row r="55" spans="2:36" x14ac:dyDescent="0.35">
      <c r="B55" s="253"/>
      <c r="C55" s="456">
        <v>46230</v>
      </c>
      <c r="D55" s="113" t="s">
        <v>184</v>
      </c>
      <c r="E55" s="117">
        <f>+'27-07A'!I56</f>
        <v>0</v>
      </c>
      <c r="F55" s="117">
        <f>+'27-07A'!I52</f>
        <v>7.9892054999999997</v>
      </c>
      <c r="G55" s="117">
        <f t="shared" si="28"/>
        <v>7.9892054999999997</v>
      </c>
      <c r="H55" s="458">
        <f t="shared" si="25"/>
        <v>15.978410999999999</v>
      </c>
      <c r="I55" s="460">
        <f>+H55+I53</f>
        <v>722.15854796070471</v>
      </c>
      <c r="J55" s="115">
        <f t="shared" si="1"/>
        <v>23.666666666666668</v>
      </c>
      <c r="K55" s="462">
        <f>+J56+J55</f>
        <v>47.333333333333336</v>
      </c>
      <c r="L55" s="462">
        <f>+K55+L53</f>
        <v>1278</v>
      </c>
      <c r="M55" s="114">
        <f t="shared" si="0"/>
        <v>0.33757206338028167</v>
      </c>
      <c r="O55" s="120">
        <f>+'27-07A'!J27</f>
        <v>0.28124999999999994</v>
      </c>
      <c r="P55" s="120">
        <f>+'27-07A'!J38</f>
        <v>0</v>
      </c>
      <c r="Q55" s="122">
        <f t="shared" si="2"/>
        <v>0.14062499999999997</v>
      </c>
      <c r="S55" s="464">
        <f>+S53</f>
        <v>15.833333333333334</v>
      </c>
      <c r="T55" s="466">
        <f>+H55+S55</f>
        <v>31.811744333333333</v>
      </c>
      <c r="U55" s="462">
        <f t="shared" ref="U55:W55" si="64">+T55+U53</f>
        <v>1149.6585479607045</v>
      </c>
      <c r="V55" s="462">
        <f t="shared" ref="V55" si="65">1850/31</f>
        <v>59.677419354838712</v>
      </c>
      <c r="W55" s="462">
        <f t="shared" si="64"/>
        <v>1611.2903225806454</v>
      </c>
      <c r="X55" s="116">
        <f t="shared" si="49"/>
        <v>0.5</v>
      </c>
      <c r="Y55" s="468">
        <f>+U55/W55</f>
        <v>0.71350180153717391</v>
      </c>
      <c r="AA55" s="231">
        <f>SUM(AA53:AA54)</f>
        <v>18.25530314505243</v>
      </c>
      <c r="AB55" s="231">
        <f>SUM(AB53:AB54)</f>
        <v>15.955971373015871</v>
      </c>
      <c r="AE55" s="234" t="s">
        <v>279</v>
      </c>
      <c r="AF55" s="235">
        <f>+AF51/AF53</f>
        <v>0.57327000543790063</v>
      </c>
    </row>
    <row r="56" spans="2:36" x14ac:dyDescent="0.35">
      <c r="B56" s="253"/>
      <c r="C56" s="495"/>
      <c r="D56" s="113" t="s">
        <v>185</v>
      </c>
      <c r="E56" s="117">
        <f>+'27-07B '!I54</f>
        <v>0</v>
      </c>
      <c r="F56" s="117">
        <f>+'27-07B '!I50</f>
        <v>7.9892054999999997</v>
      </c>
      <c r="G56" s="117">
        <f t="shared" si="28"/>
        <v>7.9892054999999997</v>
      </c>
      <c r="H56" s="491"/>
      <c r="I56" s="496"/>
      <c r="J56" s="115">
        <f t="shared" si="1"/>
        <v>23.666666666666668</v>
      </c>
      <c r="K56" s="484"/>
      <c r="L56" s="484"/>
      <c r="M56" s="114">
        <f t="shared" si="0"/>
        <v>0.33757206338028167</v>
      </c>
      <c r="O56" s="120">
        <f>+'27-07B '!J25</f>
        <v>0.37847222222222221</v>
      </c>
      <c r="P56" s="120">
        <f>+'27-07B '!J36</f>
        <v>0</v>
      </c>
      <c r="Q56" s="122">
        <f t="shared" si="2"/>
        <v>0.1892361111111111</v>
      </c>
      <c r="S56" s="464"/>
      <c r="T56" s="475"/>
      <c r="U56" s="484"/>
      <c r="V56" s="484"/>
      <c r="W56" s="484"/>
      <c r="X56" s="116">
        <f>IFERROR(G56/H55,0)</f>
        <v>0.5</v>
      </c>
      <c r="Y56" s="487"/>
      <c r="AA56" s="229">
        <f>+AA55*7</f>
        <v>127.787122015367</v>
      </c>
      <c r="AB56" s="229">
        <f>+AB55*7</f>
        <v>111.69179961111109</v>
      </c>
      <c r="AC56" s="231">
        <f>SUM(AA56:AB56)</f>
        <v>239.4789216264781</v>
      </c>
      <c r="AD56" s="99"/>
      <c r="AE56" s="449"/>
      <c r="AF56" s="451"/>
    </row>
    <row r="57" spans="2:36" x14ac:dyDescent="0.35">
      <c r="B57" s="253"/>
      <c r="C57" s="470">
        <v>46231</v>
      </c>
      <c r="D57" s="88" t="s">
        <v>184</v>
      </c>
      <c r="E57" s="118">
        <f>+'28-07A'!I57</f>
        <v>11.545617533241121</v>
      </c>
      <c r="F57" s="118">
        <f>+'28-07A'!I52</f>
        <v>7.9892054999999997</v>
      </c>
      <c r="G57" s="118">
        <f t="shared" si="28"/>
        <v>19.534823033241121</v>
      </c>
      <c r="H57" s="472">
        <f t="shared" si="25"/>
        <v>27.524028533241122</v>
      </c>
      <c r="I57" s="472">
        <f>+H57+I55</f>
        <v>749.68257649394582</v>
      </c>
      <c r="J57" s="100">
        <f t="shared" si="1"/>
        <v>23.666666666666668</v>
      </c>
      <c r="K57" s="452">
        <f>+J58+J57</f>
        <v>47.333333333333336</v>
      </c>
      <c r="L57" s="452">
        <f>+K57+L55</f>
        <v>1325.3333333333333</v>
      </c>
      <c r="M57" s="112">
        <f t="shared" si="0"/>
        <v>0.8254150577425825</v>
      </c>
      <c r="O57" s="121">
        <f>+'28-07A'!J27</f>
        <v>0.40972222222222221</v>
      </c>
      <c r="P57" s="121">
        <f>+'28-07A'!J38</f>
        <v>0</v>
      </c>
      <c r="Q57" s="123">
        <f t="shared" si="2"/>
        <v>0.2048611111111111</v>
      </c>
      <c r="S57" s="474">
        <f>+S55</f>
        <v>15.833333333333334</v>
      </c>
      <c r="T57" s="466">
        <f>+H57+S57</f>
        <v>43.357361866574458</v>
      </c>
      <c r="U57" s="452">
        <f t="shared" ref="U57:W57" si="66">+T57+U55</f>
        <v>1193.0159098272788</v>
      </c>
      <c r="V57" s="452">
        <f t="shared" ref="V57" si="67">1850/31</f>
        <v>59.677419354838712</v>
      </c>
      <c r="W57" s="452">
        <f t="shared" si="66"/>
        <v>1670.9677419354841</v>
      </c>
      <c r="X57" s="89">
        <f t="shared" si="49"/>
        <v>0.70973705791827191</v>
      </c>
      <c r="Y57" s="454">
        <f>+U57/W57</f>
        <v>0.71396705028273433</v>
      </c>
      <c r="AE57" s="450"/>
      <c r="AF57" s="451"/>
    </row>
    <row r="58" spans="2:36" ht="15" thickBot="1" x14ac:dyDescent="0.4">
      <c r="B58" s="253"/>
      <c r="C58" s="509"/>
      <c r="D58" s="322" t="s">
        <v>185</v>
      </c>
      <c r="E58" s="323">
        <f>+'28-07B'!I55</f>
        <v>0</v>
      </c>
      <c r="F58" s="323">
        <f>+'28-07B'!I51</f>
        <v>7.9892054999999997</v>
      </c>
      <c r="G58" s="323">
        <f t="shared" si="28"/>
        <v>7.9892054999999997</v>
      </c>
      <c r="H58" s="514"/>
      <c r="I58" s="514"/>
      <c r="J58" s="324">
        <f t="shared" si="1"/>
        <v>23.666666666666668</v>
      </c>
      <c r="K58" s="516"/>
      <c r="L58" s="516"/>
      <c r="M58" s="325">
        <f t="shared" si="0"/>
        <v>0.33757206338028167</v>
      </c>
      <c r="N58" s="263"/>
      <c r="O58" s="326">
        <f>+'28-07B'!J26</f>
        <v>0.38194444444444442</v>
      </c>
      <c r="P58" s="326">
        <f>+'28-07B'!J37</f>
        <v>0</v>
      </c>
      <c r="Q58" s="327">
        <f t="shared" si="2"/>
        <v>0.19097222222222221</v>
      </c>
      <c r="R58" s="263"/>
      <c r="S58" s="515"/>
      <c r="T58" s="467"/>
      <c r="U58" s="516"/>
      <c r="V58" s="516"/>
      <c r="W58" s="516"/>
      <c r="X58" s="328">
        <f>IFERROR(G58/H57,0)</f>
        <v>0.29026294208172809</v>
      </c>
      <c r="Y58" s="517"/>
      <c r="AA58" t="s">
        <v>553</v>
      </c>
      <c r="AE58" t="s">
        <v>553</v>
      </c>
      <c r="AF58" s="396"/>
      <c r="AG58" s="396"/>
      <c r="AH58" s="396"/>
      <c r="AI58" t="s">
        <v>553</v>
      </c>
    </row>
    <row r="59" spans="2:36" x14ac:dyDescent="0.35">
      <c r="B59" s="254"/>
      <c r="C59" s="502">
        <v>46232</v>
      </c>
      <c r="D59" s="264" t="s">
        <v>184</v>
      </c>
      <c r="E59" s="265">
        <f>+'29-07A'!I58</f>
        <v>0.74320864860467062</v>
      </c>
      <c r="F59" s="265">
        <f>+'29-07A'!I53</f>
        <v>7.9892054999999997</v>
      </c>
      <c r="G59" s="265">
        <f t="shared" si="28"/>
        <v>8.7324141486046702</v>
      </c>
      <c r="H59" s="490">
        <f t="shared" si="25"/>
        <v>16.721619648604669</v>
      </c>
      <c r="I59" s="460">
        <f>+H59+I57</f>
        <v>766.40419614255052</v>
      </c>
      <c r="J59" s="266">
        <f t="shared" si="1"/>
        <v>23.666666666666668</v>
      </c>
      <c r="K59" s="492">
        <f>+J60+J59</f>
        <v>47.333333333333336</v>
      </c>
      <c r="L59" s="492">
        <f>+K59+L57</f>
        <v>1372.6666666666665</v>
      </c>
      <c r="M59" s="267">
        <f t="shared" si="0"/>
        <v>0.36897524571569029</v>
      </c>
      <c r="N59" s="259"/>
      <c r="O59" s="268">
        <f>+'29-07A'!J28</f>
        <v>0.36458333333333331</v>
      </c>
      <c r="P59" s="268">
        <f>+'29-07A'!J39</f>
        <v>0</v>
      </c>
      <c r="Q59" s="269">
        <f t="shared" si="2"/>
        <v>0.18229166666666666</v>
      </c>
      <c r="R59" s="259"/>
      <c r="S59" s="503">
        <f>+S57</f>
        <v>15.833333333333334</v>
      </c>
      <c r="T59" s="504">
        <f>+H59+S59</f>
        <v>32.554952981938001</v>
      </c>
      <c r="U59" s="492">
        <f t="shared" ref="U59:W59" si="68">+T59+U57</f>
        <v>1225.5708628092168</v>
      </c>
      <c r="V59" s="492">
        <f t="shared" ref="V59" si="69">1850/31</f>
        <v>59.677419354838712</v>
      </c>
      <c r="W59" s="492">
        <f t="shared" si="68"/>
        <v>1730.6451612903229</v>
      </c>
      <c r="X59" s="270">
        <f t="shared" si="49"/>
        <v>0.52222298629626729</v>
      </c>
      <c r="Y59" s="493">
        <f>+U59/W59</f>
        <v>0.70815837366422585</v>
      </c>
      <c r="AA59" s="119"/>
      <c r="AB59" s="119"/>
      <c r="AC59" s="252"/>
      <c r="AE59" s="243" t="s">
        <v>277</v>
      </c>
      <c r="AF59" s="244"/>
      <c r="AH59" s="396"/>
      <c r="AI59" s="234" t="s">
        <v>314</v>
      </c>
      <c r="AJ59" s="248" t="s">
        <v>313</v>
      </c>
    </row>
    <row r="60" spans="2:36" x14ac:dyDescent="0.35">
      <c r="B60" s="254"/>
      <c r="C60" s="495"/>
      <c r="D60" s="113" t="s">
        <v>185</v>
      </c>
      <c r="E60" s="117">
        <f>+'29-07B'!I55</f>
        <v>0</v>
      </c>
      <c r="F60" s="117">
        <f>+'29-07B'!I51</f>
        <v>7.9892054999999997</v>
      </c>
      <c r="G60" s="117">
        <f t="shared" si="28"/>
        <v>7.9892054999999997</v>
      </c>
      <c r="H60" s="491"/>
      <c r="I60" s="496"/>
      <c r="J60" s="115">
        <f t="shared" si="1"/>
        <v>23.666666666666668</v>
      </c>
      <c r="K60" s="484"/>
      <c r="L60" s="484"/>
      <c r="M60" s="114">
        <f t="shared" si="0"/>
        <v>0.33757206338028167</v>
      </c>
      <c r="O60" s="120">
        <f>+'29-07B'!J26</f>
        <v>0.40277777777777779</v>
      </c>
      <c r="P60" s="120">
        <f>+'29-07B'!J37</f>
        <v>0</v>
      </c>
      <c r="Q60" s="122">
        <f t="shared" si="2"/>
        <v>0.2013888888888889</v>
      </c>
      <c r="S60" s="464"/>
      <c r="T60" s="475"/>
      <c r="U60" s="484"/>
      <c r="V60" s="484"/>
      <c r="W60" s="484"/>
      <c r="X60" s="116">
        <f>IFERROR(G60/H59,0)</f>
        <v>0.47777701370373277</v>
      </c>
      <c r="Y60" s="487"/>
      <c r="AA60" s="249">
        <f>+G59</f>
        <v>8.7324141486046702</v>
      </c>
      <c r="AB60" s="249">
        <f>+G60</f>
        <v>7.9892054999999997</v>
      </c>
      <c r="AE60" s="237" t="s">
        <v>276</v>
      </c>
      <c r="AF60" s="300">
        <v>7</v>
      </c>
      <c r="AH60" s="396"/>
      <c r="AI60" s="228" t="s">
        <v>311</v>
      </c>
      <c r="AJ60" s="231">
        <f>+AA69</f>
        <v>10.305469473610191</v>
      </c>
    </row>
    <row r="61" spans="2:36" x14ac:dyDescent="0.35">
      <c r="B61" s="254"/>
      <c r="C61" s="470">
        <v>46233</v>
      </c>
      <c r="D61" s="88" t="s">
        <v>184</v>
      </c>
      <c r="E61" s="118">
        <f>+'30-07A'!I59</f>
        <v>0</v>
      </c>
      <c r="F61" s="118">
        <f>+'30-07A'!I54</f>
        <v>7.9892054999999997</v>
      </c>
      <c r="G61" s="118">
        <f t="shared" si="28"/>
        <v>7.9892054999999997</v>
      </c>
      <c r="H61" s="472">
        <f t="shared" si="25"/>
        <v>26.154920499999999</v>
      </c>
      <c r="I61" s="472">
        <f>+H61+I59</f>
        <v>792.55911664255052</v>
      </c>
      <c r="J61" s="100">
        <f t="shared" si="1"/>
        <v>23.666666666666668</v>
      </c>
      <c r="K61" s="452">
        <f>+J62+J61</f>
        <v>47.333333333333336</v>
      </c>
      <c r="L61" s="452">
        <f>+K61+L59</f>
        <v>1419.9999999999998</v>
      </c>
      <c r="M61" s="112">
        <f t="shared" si="0"/>
        <v>0.33757206338028167</v>
      </c>
      <c r="O61" s="121">
        <f>+'30-07A'!J29</f>
        <v>0.41666666666666663</v>
      </c>
      <c r="P61" s="121">
        <f>+'30-07A'!J40</f>
        <v>0</v>
      </c>
      <c r="Q61" s="123">
        <f t="shared" si="2"/>
        <v>0.20833333333333331</v>
      </c>
      <c r="S61" s="474">
        <f>+S59</f>
        <v>15.833333333333334</v>
      </c>
      <c r="T61" s="466">
        <f>+H61+S61</f>
        <v>41.988253833333331</v>
      </c>
      <c r="U61" s="452">
        <f t="shared" ref="U61:W61" si="70">+T61+U59</f>
        <v>1267.5591166425502</v>
      </c>
      <c r="V61" s="452">
        <f t="shared" ref="V61" si="71">1850/31</f>
        <v>59.677419354838712</v>
      </c>
      <c r="W61" s="452">
        <f t="shared" si="70"/>
        <v>1790.3225806451617</v>
      </c>
      <c r="X61" s="89">
        <f t="shared" si="49"/>
        <v>0.30545707451108484</v>
      </c>
      <c r="Y61" s="454">
        <f>+U61/W61</f>
        <v>0.70800599307962242</v>
      </c>
      <c r="AA61" s="249">
        <f>+G61</f>
        <v>7.9892054999999997</v>
      </c>
      <c r="AB61" s="249">
        <f>+G62</f>
        <v>18.165714999999999</v>
      </c>
      <c r="AE61" s="237" t="s">
        <v>281</v>
      </c>
      <c r="AF61" s="229">
        <f>AVERAGE(H59:H72)</f>
        <v>6.1252200212292385</v>
      </c>
      <c r="AH61" s="396"/>
      <c r="AI61" s="228" t="s">
        <v>312</v>
      </c>
      <c r="AJ61" s="231">
        <f>+AB69</f>
        <v>11.653083880952382</v>
      </c>
    </row>
    <row r="62" spans="2:36" x14ac:dyDescent="0.35">
      <c r="B62" s="254"/>
      <c r="C62" s="471"/>
      <c r="D62" s="88" t="s">
        <v>185</v>
      </c>
      <c r="E62" s="118">
        <f>+'30-07B '!I56</f>
        <v>10.1765095</v>
      </c>
      <c r="F62" s="118">
        <f>+'30-07B '!I51</f>
        <v>7.9892054999999997</v>
      </c>
      <c r="G62" s="118">
        <f t="shared" si="28"/>
        <v>18.165714999999999</v>
      </c>
      <c r="H62" s="473"/>
      <c r="I62" s="473"/>
      <c r="J62" s="100">
        <f t="shared" si="1"/>
        <v>23.666666666666668</v>
      </c>
      <c r="K62" s="453"/>
      <c r="L62" s="453"/>
      <c r="M62" s="112">
        <f t="shared" si="0"/>
        <v>0.76756542253521121</v>
      </c>
      <c r="O62" s="121">
        <f>+'30-07B '!J26</f>
        <v>0</v>
      </c>
      <c r="P62" s="121">
        <f>+'30-07B '!J37</f>
        <v>0</v>
      </c>
      <c r="Q62" s="123">
        <f t="shared" si="2"/>
        <v>0</v>
      </c>
      <c r="S62" s="474"/>
      <c r="T62" s="475"/>
      <c r="U62" s="453"/>
      <c r="V62" s="453"/>
      <c r="W62" s="453"/>
      <c r="X62" s="89">
        <f>IFERROR(G62/H61,0)</f>
        <v>0.69454292548891516</v>
      </c>
      <c r="Y62" s="455"/>
      <c r="AA62" s="249">
        <f>+G63</f>
        <v>0</v>
      </c>
      <c r="AB62" s="249">
        <f>+G64</f>
        <v>0</v>
      </c>
      <c r="AE62" s="237" t="s">
        <v>286</v>
      </c>
      <c r="AF62" s="229">
        <f>+AF61*AF60</f>
        <v>42.876540148604668</v>
      </c>
      <c r="AH62" s="396"/>
      <c r="AI62" s="251" t="s">
        <v>318</v>
      </c>
      <c r="AJ62" s="251">
        <f>SUM(AJ60:AJ61)</f>
        <v>21.958553354562575</v>
      </c>
    </row>
    <row r="63" spans="2:36" x14ac:dyDescent="0.35">
      <c r="B63" s="254"/>
      <c r="C63" s="456">
        <v>46234</v>
      </c>
      <c r="D63" s="113" t="s">
        <v>184</v>
      </c>
      <c r="E63" s="117"/>
      <c r="F63" s="117"/>
      <c r="G63" s="117">
        <f t="shared" si="28"/>
        <v>0</v>
      </c>
      <c r="H63" s="458">
        <f t="shared" si="25"/>
        <v>0</v>
      </c>
      <c r="I63" s="460">
        <f>+H63+I61</f>
        <v>792.55911664255052</v>
      </c>
      <c r="J63" s="115">
        <f t="shared" si="1"/>
        <v>23.666666666666668</v>
      </c>
      <c r="K63" s="462">
        <f>+J64+J63</f>
        <v>47.333333333333336</v>
      </c>
      <c r="L63" s="462">
        <f>+K63+L61</f>
        <v>1467.333333333333</v>
      </c>
      <c r="M63" s="114">
        <f t="shared" si="0"/>
        <v>0</v>
      </c>
      <c r="O63" s="120"/>
      <c r="P63" s="120"/>
      <c r="Q63" s="122">
        <f t="shared" si="2"/>
        <v>0</v>
      </c>
      <c r="S63" s="464"/>
      <c r="T63" s="466">
        <f>+H63+S63</f>
        <v>0</v>
      </c>
      <c r="U63" s="462">
        <f t="shared" ref="U63:W63" si="72">+T63+U61</f>
        <v>1267.5591166425502</v>
      </c>
      <c r="V63" s="462">
        <f t="shared" ref="V63" si="73">1850/31</f>
        <v>59.677419354838712</v>
      </c>
      <c r="W63" s="462">
        <f t="shared" si="72"/>
        <v>1850.0000000000005</v>
      </c>
      <c r="X63" s="116">
        <f t="shared" si="49"/>
        <v>0</v>
      </c>
      <c r="Y63" s="468"/>
      <c r="AA63" s="249">
        <f>+G65</f>
        <v>0</v>
      </c>
      <c r="AB63" s="249">
        <f>+G66</f>
        <v>0</v>
      </c>
      <c r="AE63" s="236" t="s">
        <v>282</v>
      </c>
      <c r="AF63" s="118">
        <f>SUM(AF62)</f>
        <v>42.876540148604668</v>
      </c>
      <c r="AG63" s="248" t="s">
        <v>315</v>
      </c>
      <c r="AH63" s="396"/>
      <c r="AI63" s="251" t="s">
        <v>316</v>
      </c>
      <c r="AJ63" s="251">
        <v>7</v>
      </c>
    </row>
    <row r="64" spans="2:36" ht="15" thickBot="1" x14ac:dyDescent="0.4">
      <c r="B64" s="254"/>
      <c r="C64" s="457"/>
      <c r="D64" s="271" t="s">
        <v>185</v>
      </c>
      <c r="E64" s="272"/>
      <c r="F64" s="272"/>
      <c r="G64" s="272">
        <f t="shared" si="28"/>
        <v>0</v>
      </c>
      <c r="H64" s="459"/>
      <c r="I64" s="461"/>
      <c r="J64" s="273">
        <f t="shared" si="1"/>
        <v>23.666666666666668</v>
      </c>
      <c r="K64" s="463"/>
      <c r="L64" s="463"/>
      <c r="M64" s="274">
        <f t="shared" si="0"/>
        <v>0</v>
      </c>
      <c r="N64" s="263"/>
      <c r="O64" s="275"/>
      <c r="P64" s="275"/>
      <c r="Q64" s="276">
        <f t="shared" si="2"/>
        <v>0</v>
      </c>
      <c r="R64" s="263"/>
      <c r="S64" s="465"/>
      <c r="T64" s="467"/>
      <c r="U64" s="463"/>
      <c r="V64" s="463"/>
      <c r="W64" s="463"/>
      <c r="X64" s="277">
        <f>IFERROR(G64/H63,0)</f>
        <v>0</v>
      </c>
      <c r="Y64" s="469"/>
      <c r="AA64" s="249">
        <f>+G67</f>
        <v>0</v>
      </c>
      <c r="AB64" s="249">
        <f>+G68</f>
        <v>0</v>
      </c>
      <c r="AE64" s="237" t="s">
        <v>285</v>
      </c>
      <c r="AF64" s="232">
        <f>+S59*AF60</f>
        <v>110.83333333333334</v>
      </c>
      <c r="AG64" s="229">
        <f>+AF64/7</f>
        <v>15.833333333333334</v>
      </c>
      <c r="AH64" s="396"/>
      <c r="AI64" s="250" t="s">
        <v>317</v>
      </c>
      <c r="AJ64" s="250">
        <f>+AJ63*AJ62</f>
        <v>153.70987348193802</v>
      </c>
    </row>
    <row r="65" spans="2:34" x14ac:dyDescent="0.35">
      <c r="B65" s="254"/>
      <c r="C65" s="470">
        <f>+C63+1</f>
        <v>46235</v>
      </c>
      <c r="D65" s="88" t="s">
        <v>184</v>
      </c>
      <c r="E65" s="118"/>
      <c r="F65" s="118"/>
      <c r="G65" s="118">
        <f t="shared" ref="G65:G72" si="74">SUM(E65:F65)</f>
        <v>0</v>
      </c>
      <c r="H65" s="472">
        <f t="shared" ref="H65" si="75">+G65+G66</f>
        <v>0</v>
      </c>
      <c r="I65" s="472"/>
      <c r="J65" s="100">
        <f t="shared" si="1"/>
        <v>23.666666666666668</v>
      </c>
      <c r="K65" s="452">
        <f>+J66+J65</f>
        <v>47.333333333333336</v>
      </c>
      <c r="L65" s="452">
        <f>+K65+L63</f>
        <v>1514.6666666666663</v>
      </c>
      <c r="M65" s="112">
        <f t="shared" ref="M65:M72" si="76">+G65/J65</f>
        <v>0</v>
      </c>
      <c r="O65" s="121"/>
      <c r="P65" s="121"/>
      <c r="Q65" s="123">
        <f t="shared" ref="Q65:Q72" si="77">IFERROR(AVERAGE(O65:P65),0)</f>
        <v>0</v>
      </c>
      <c r="S65" s="474"/>
      <c r="T65" s="466">
        <f>+H65+S65</f>
        <v>0</v>
      </c>
      <c r="U65" s="452">
        <f t="shared" ref="U65" si="78">+T65+U63</f>
        <v>1267.5591166425502</v>
      </c>
      <c r="V65" s="452">
        <f t="shared" ref="V65" si="79">1850/31</f>
        <v>59.677419354838712</v>
      </c>
      <c r="W65" s="452">
        <f t="shared" ref="W65" si="80">+V65+W63</f>
        <v>1909.6774193548392</v>
      </c>
      <c r="X65" s="89">
        <f t="shared" ref="X65" si="81">IFERROR(G65/H65,0)</f>
        <v>0</v>
      </c>
      <c r="Y65" s="454"/>
      <c r="AA65" s="249">
        <f>+G69</f>
        <v>0</v>
      </c>
      <c r="AB65" s="249">
        <f>+G70</f>
        <v>0</v>
      </c>
      <c r="AD65" s="38"/>
      <c r="AE65" s="236" t="s">
        <v>278</v>
      </c>
      <c r="AF65" s="118">
        <f>SUM(AF63:AF64)</f>
        <v>153.70987348193802</v>
      </c>
      <c r="AG65" s="229">
        <f>+AG64+AF61</f>
        <v>21.958553354562572</v>
      </c>
      <c r="AH65" s="396"/>
    </row>
    <row r="66" spans="2:34" x14ac:dyDescent="0.35">
      <c r="B66" s="254"/>
      <c r="C66" s="471"/>
      <c r="D66" s="88" t="s">
        <v>185</v>
      </c>
      <c r="E66" s="118"/>
      <c r="F66" s="118"/>
      <c r="G66" s="118">
        <f t="shared" si="74"/>
        <v>0</v>
      </c>
      <c r="H66" s="473"/>
      <c r="I66" s="473"/>
      <c r="J66" s="100">
        <f t="shared" si="1"/>
        <v>23.666666666666668</v>
      </c>
      <c r="K66" s="453"/>
      <c r="L66" s="453"/>
      <c r="M66" s="112">
        <f t="shared" si="76"/>
        <v>0</v>
      </c>
      <c r="O66" s="121"/>
      <c r="P66" s="121"/>
      <c r="Q66" s="123">
        <f t="shared" si="77"/>
        <v>0</v>
      </c>
      <c r="S66" s="474"/>
      <c r="T66" s="475"/>
      <c r="U66" s="453"/>
      <c r="V66" s="453"/>
      <c r="W66" s="453"/>
      <c r="X66" s="89">
        <f>IFERROR(G66/H65,0)</f>
        <v>0</v>
      </c>
      <c r="Y66" s="455"/>
      <c r="AA66" s="249">
        <f>+G71</f>
        <v>0</v>
      </c>
      <c r="AB66" s="249">
        <f>+G72</f>
        <v>0</v>
      </c>
      <c r="AH66" s="396"/>
    </row>
    <row r="67" spans="2:34" x14ac:dyDescent="0.35">
      <c r="B67" s="254"/>
      <c r="C67" s="456">
        <f t="shared" ref="C67" si="82">+C65+1</f>
        <v>46236</v>
      </c>
      <c r="D67" s="113" t="s">
        <v>184</v>
      </c>
      <c r="E67" s="117"/>
      <c r="F67" s="117"/>
      <c r="G67" s="117">
        <f t="shared" si="74"/>
        <v>0</v>
      </c>
      <c r="H67" s="458">
        <f t="shared" ref="H67" si="83">+G67+G68</f>
        <v>0</v>
      </c>
      <c r="I67" s="460">
        <f>+H67+I65</f>
        <v>0</v>
      </c>
      <c r="J67" s="115">
        <f t="shared" si="1"/>
        <v>23.666666666666668</v>
      </c>
      <c r="K67" s="462">
        <f>+J68+J67</f>
        <v>47.333333333333336</v>
      </c>
      <c r="L67" s="462">
        <f>+K67+L65</f>
        <v>1561.9999999999995</v>
      </c>
      <c r="M67" s="114">
        <f t="shared" si="76"/>
        <v>0</v>
      </c>
      <c r="O67" s="120"/>
      <c r="P67" s="120"/>
      <c r="Q67" s="122">
        <f t="shared" si="77"/>
        <v>0</v>
      </c>
      <c r="S67" s="464"/>
      <c r="T67" s="466">
        <f>+H67+S67</f>
        <v>0</v>
      </c>
      <c r="U67" s="462">
        <f t="shared" ref="U67" si="84">+T67+U65</f>
        <v>1267.5591166425502</v>
      </c>
      <c r="V67" s="462">
        <f t="shared" ref="V67" si="85">1850/31</f>
        <v>59.677419354838712</v>
      </c>
      <c r="W67" s="462">
        <f t="shared" ref="W67" si="86">+V67+W65</f>
        <v>1969.354838709678</v>
      </c>
      <c r="X67" s="116">
        <f t="shared" ref="X67" si="87">IFERROR(G67/H67,0)</f>
        <v>0</v>
      </c>
      <c r="Y67" s="468"/>
      <c r="AA67" s="250">
        <f>AVERAGE(AA60:AA66)</f>
        <v>2.3888028069435241</v>
      </c>
      <c r="AB67" s="230">
        <f>AVERAGE(AB60:AB66)</f>
        <v>3.7364172142857144</v>
      </c>
      <c r="AE67" s="228" t="s">
        <v>283</v>
      </c>
      <c r="AF67" s="231">
        <f>+W71-W57</f>
        <v>417.74193548387143</v>
      </c>
      <c r="AH67" s="396"/>
    </row>
    <row r="68" spans="2:34" x14ac:dyDescent="0.35">
      <c r="B68" s="254"/>
      <c r="C68" s="476"/>
      <c r="D68" s="376" t="s">
        <v>185</v>
      </c>
      <c r="E68" s="377"/>
      <c r="F68" s="377"/>
      <c r="G68" s="377">
        <f t="shared" si="74"/>
        <v>0</v>
      </c>
      <c r="H68" s="477"/>
      <c r="I68" s="478"/>
      <c r="J68" s="375">
        <f t="shared" ref="J68" si="88">+(1850-430)/60</f>
        <v>23.666666666666668</v>
      </c>
      <c r="K68" s="479"/>
      <c r="L68" s="479"/>
      <c r="M68" s="378">
        <f t="shared" si="76"/>
        <v>0</v>
      </c>
      <c r="O68" s="379"/>
      <c r="P68" s="379"/>
      <c r="Q68" s="380">
        <f t="shared" si="77"/>
        <v>0</v>
      </c>
      <c r="S68" s="462"/>
      <c r="T68" s="480"/>
      <c r="U68" s="479"/>
      <c r="V68" s="479"/>
      <c r="W68" s="479"/>
      <c r="X68" s="381">
        <f>IFERROR(G68/H67,0)</f>
        <v>0</v>
      </c>
      <c r="Y68" s="481"/>
      <c r="AA68" s="251">
        <f>+S59/2</f>
        <v>7.916666666666667</v>
      </c>
      <c r="AB68" s="231">
        <f>+AA68</f>
        <v>7.916666666666667</v>
      </c>
      <c r="AE68" s="228" t="s">
        <v>284</v>
      </c>
      <c r="AF68" s="233">
        <f>+AF65-AF67</f>
        <v>-264.03206200193341</v>
      </c>
      <c r="AG68" s="242"/>
      <c r="AH68" s="396"/>
    </row>
    <row r="69" spans="2:34" x14ac:dyDescent="0.35">
      <c r="B69" s="254"/>
      <c r="C69" s="470">
        <f t="shared" ref="C69" si="89">+C67+1</f>
        <v>46237</v>
      </c>
      <c r="D69" s="88" t="s">
        <v>184</v>
      </c>
      <c r="E69" s="118"/>
      <c r="F69" s="118"/>
      <c r="G69" s="118">
        <f t="shared" si="74"/>
        <v>0</v>
      </c>
      <c r="H69" s="472">
        <f t="shared" ref="H69" si="90">+G69+G70</f>
        <v>0</v>
      </c>
      <c r="I69" s="472"/>
      <c r="J69" s="100">
        <f t="shared" si="1"/>
        <v>23.666666666666668</v>
      </c>
      <c r="K69" s="452">
        <f>+J70+J69</f>
        <v>47.333333333333336</v>
      </c>
      <c r="L69" s="452">
        <f>+K69+L67</f>
        <v>1609.3333333333328</v>
      </c>
      <c r="M69" s="112">
        <f t="shared" si="76"/>
        <v>0</v>
      </c>
      <c r="N69" s="13"/>
      <c r="O69" s="121"/>
      <c r="P69" s="121"/>
      <c r="Q69" s="123">
        <f t="shared" si="77"/>
        <v>0</v>
      </c>
      <c r="R69" s="13"/>
      <c r="S69" s="474"/>
      <c r="T69" s="466">
        <f>+H69+S69</f>
        <v>0</v>
      </c>
      <c r="U69" s="452">
        <f t="shared" ref="U69" si="91">+T69+U67</f>
        <v>1267.5591166425502</v>
      </c>
      <c r="V69" s="452">
        <f t="shared" ref="V69" si="92">1850/31</f>
        <v>59.677419354838712</v>
      </c>
      <c r="W69" s="452">
        <f t="shared" ref="W69" si="93">+V69+W67</f>
        <v>2029.0322580645168</v>
      </c>
      <c r="X69" s="89">
        <f t="shared" ref="X69" si="94">IFERROR(G69/H69,0)</f>
        <v>0</v>
      </c>
      <c r="Y69" s="454"/>
      <c r="AA69" s="231">
        <f>SUM(AA67:AA68)</f>
        <v>10.305469473610191</v>
      </c>
      <c r="AB69" s="231">
        <f>SUM(AB67:AB68)</f>
        <v>11.653083880952382</v>
      </c>
      <c r="AE69" s="234" t="s">
        <v>279</v>
      </c>
      <c r="AF69" s="235">
        <f>+AF65/AF67</f>
        <v>0.36795413729266974</v>
      </c>
      <c r="AH69" s="396"/>
    </row>
    <row r="70" spans="2:34" x14ac:dyDescent="0.35">
      <c r="B70" s="254"/>
      <c r="C70" s="471"/>
      <c r="D70" s="88" t="s">
        <v>185</v>
      </c>
      <c r="E70" s="118"/>
      <c r="F70" s="118"/>
      <c r="G70" s="118">
        <f t="shared" si="74"/>
        <v>0</v>
      </c>
      <c r="H70" s="473"/>
      <c r="I70" s="473"/>
      <c r="J70" s="100">
        <f t="shared" ref="J70:J72" si="95">+(1850-430)/60</f>
        <v>23.666666666666668</v>
      </c>
      <c r="K70" s="453"/>
      <c r="L70" s="453"/>
      <c r="M70" s="112">
        <f t="shared" si="76"/>
        <v>0</v>
      </c>
      <c r="O70" s="121"/>
      <c r="P70" s="121"/>
      <c r="Q70" s="123">
        <f t="shared" si="77"/>
        <v>0</v>
      </c>
      <c r="S70" s="474"/>
      <c r="T70" s="475"/>
      <c r="U70" s="453"/>
      <c r="V70" s="453"/>
      <c r="W70" s="453"/>
      <c r="X70" s="89">
        <f>IFERROR(G70/H69,0)</f>
        <v>0</v>
      </c>
      <c r="Y70" s="455"/>
      <c r="AA70" s="229">
        <f>+AA69*7</f>
        <v>72.138286315271344</v>
      </c>
      <c r="AB70" s="229">
        <f>+AB69*7</f>
        <v>81.571587166666674</v>
      </c>
      <c r="AC70" s="231">
        <f>SUM(AA70:AB70)</f>
        <v>153.70987348193802</v>
      </c>
    </row>
    <row r="71" spans="2:34" x14ac:dyDescent="0.35">
      <c r="B71" s="254"/>
      <c r="C71" s="456">
        <f t="shared" ref="C71" si="96">+C69+1</f>
        <v>46238</v>
      </c>
      <c r="D71" s="113" t="s">
        <v>184</v>
      </c>
      <c r="E71" s="117"/>
      <c r="F71" s="117"/>
      <c r="G71" s="117">
        <f t="shared" si="74"/>
        <v>0</v>
      </c>
      <c r="H71" s="458">
        <f t="shared" ref="H71" si="97">+G71+G72</f>
        <v>0</v>
      </c>
      <c r="I71" s="460">
        <f>+H71+I69</f>
        <v>0</v>
      </c>
      <c r="J71" s="115">
        <f t="shared" si="95"/>
        <v>23.666666666666668</v>
      </c>
      <c r="K71" s="462">
        <f>+J72+J71</f>
        <v>47.333333333333336</v>
      </c>
      <c r="L71" s="462">
        <f>+K71+L69</f>
        <v>1656.6666666666661</v>
      </c>
      <c r="M71" s="114">
        <f t="shared" si="76"/>
        <v>0</v>
      </c>
      <c r="O71" s="120"/>
      <c r="P71" s="120"/>
      <c r="Q71" s="122">
        <f t="shared" si="77"/>
        <v>0</v>
      </c>
      <c r="S71" s="464"/>
      <c r="T71" s="466">
        <f>+H71+S71</f>
        <v>0</v>
      </c>
      <c r="U71" s="462">
        <f t="shared" ref="U71" si="98">+T71+U69</f>
        <v>1267.5591166425502</v>
      </c>
      <c r="V71" s="462">
        <f t="shared" ref="V71" si="99">1850/31</f>
        <v>59.677419354838712</v>
      </c>
      <c r="W71" s="462">
        <f t="shared" ref="W71" si="100">+V71+W69</f>
        <v>2088.7096774193556</v>
      </c>
      <c r="X71" s="116">
        <f t="shared" ref="X71" si="101">IFERROR(G71/H71,0)</f>
        <v>0</v>
      </c>
      <c r="Y71" s="468"/>
    </row>
    <row r="72" spans="2:34" ht="15" thickBot="1" x14ac:dyDescent="0.4">
      <c r="B72" s="254"/>
      <c r="C72" s="457"/>
      <c r="D72" s="271" t="s">
        <v>185</v>
      </c>
      <c r="E72" s="272"/>
      <c r="F72" s="272"/>
      <c r="G72" s="272">
        <f t="shared" si="74"/>
        <v>0</v>
      </c>
      <c r="H72" s="459"/>
      <c r="I72" s="461"/>
      <c r="J72" s="273">
        <f t="shared" si="95"/>
        <v>23.666666666666668</v>
      </c>
      <c r="K72" s="463"/>
      <c r="L72" s="463"/>
      <c r="M72" s="274">
        <f t="shared" si="76"/>
        <v>0</v>
      </c>
      <c r="N72" s="263"/>
      <c r="O72" s="275"/>
      <c r="P72" s="275"/>
      <c r="Q72" s="276">
        <f t="shared" si="77"/>
        <v>0</v>
      </c>
      <c r="R72" s="263"/>
      <c r="S72" s="465"/>
      <c r="T72" s="467"/>
      <c r="U72" s="463"/>
      <c r="V72" s="463"/>
      <c r="W72" s="463"/>
      <c r="X72" s="277">
        <f>IFERROR(G72/H71,0)</f>
        <v>0</v>
      </c>
      <c r="Y72" s="469"/>
    </row>
    <row r="73" spans="2:34" x14ac:dyDescent="0.35">
      <c r="B73" s="253"/>
    </row>
    <row r="74" spans="2:34" x14ac:dyDescent="0.35">
      <c r="B74" s="253"/>
    </row>
    <row r="75" spans="2:34" x14ac:dyDescent="0.35">
      <c r="B75" s="253"/>
    </row>
    <row r="76" spans="2:34" x14ac:dyDescent="0.35">
      <c r="B76" s="253"/>
      <c r="AD76" s="99"/>
      <c r="AE76" s="449"/>
      <c r="AF76" s="451"/>
    </row>
    <row r="77" spans="2:34" x14ac:dyDescent="0.35">
      <c r="B77" s="253"/>
      <c r="AE77" s="450"/>
      <c r="AF77" s="451"/>
    </row>
    <row r="78" spans="2:34" x14ac:dyDescent="0.35">
      <c r="B78" s="253"/>
      <c r="AE78" s="449"/>
      <c r="AF78" s="450"/>
    </row>
    <row r="79" spans="2:34" x14ac:dyDescent="0.35">
      <c r="B79" s="253"/>
      <c r="AE79" s="450"/>
      <c r="AF79" s="450"/>
    </row>
    <row r="80" spans="2:34" x14ac:dyDescent="0.35">
      <c r="B80" s="253"/>
    </row>
    <row r="81" spans="2:32" x14ac:dyDescent="0.35">
      <c r="B81" s="253"/>
      <c r="AE81" s="240"/>
    </row>
    <row r="82" spans="2:32" x14ac:dyDescent="0.35">
      <c r="B82" s="253"/>
      <c r="AC82" s="247"/>
      <c r="AE82" s="238"/>
      <c r="AF82" s="238"/>
    </row>
    <row r="83" spans="2:32" x14ac:dyDescent="0.35">
      <c r="B83" s="253"/>
      <c r="AE83" s="241"/>
      <c r="AF83" s="241"/>
    </row>
    <row r="84" spans="2:32" x14ac:dyDescent="0.35">
      <c r="B84" s="253"/>
    </row>
    <row r="85" spans="2:32" x14ac:dyDescent="0.35">
      <c r="B85" s="253"/>
    </row>
    <row r="86" spans="2:32" x14ac:dyDescent="0.35">
      <c r="B86" s="253"/>
    </row>
  </sheetData>
  <mergeCells count="395">
    <mergeCell ref="AE56:AE57"/>
    <mergeCell ref="AF56:AF57"/>
    <mergeCell ref="I45:I46"/>
    <mergeCell ref="I25:I26"/>
    <mergeCell ref="L53:L54"/>
    <mergeCell ref="L59:L60"/>
    <mergeCell ref="K53:K54"/>
    <mergeCell ref="K59:K60"/>
    <mergeCell ref="S39:S40"/>
    <mergeCell ref="T39:T40"/>
    <mergeCell ref="V39:V40"/>
    <mergeCell ref="S35:S36"/>
    <mergeCell ref="T35:T36"/>
    <mergeCell ref="S51:S52"/>
    <mergeCell ref="T51:T52"/>
    <mergeCell ref="T47:T48"/>
    <mergeCell ref="S41:S42"/>
    <mergeCell ref="T41:T42"/>
    <mergeCell ref="K39:K40"/>
    <mergeCell ref="K41:K42"/>
    <mergeCell ref="L39:L40"/>
    <mergeCell ref="L41:L42"/>
    <mergeCell ref="W25:W26"/>
    <mergeCell ref="W27:W28"/>
    <mergeCell ref="Y11:Y12"/>
    <mergeCell ref="V13:V14"/>
    <mergeCell ref="Y13:Y14"/>
    <mergeCell ref="V41:V42"/>
    <mergeCell ref="U39:U40"/>
    <mergeCell ref="U41:U42"/>
    <mergeCell ref="V35:V36"/>
    <mergeCell ref="V31:V32"/>
    <mergeCell ref="V3:V4"/>
    <mergeCell ref="V5:V6"/>
    <mergeCell ref="V7:V8"/>
    <mergeCell ref="V9:V10"/>
    <mergeCell ref="V11:V12"/>
    <mergeCell ref="U25:U26"/>
    <mergeCell ref="U27:U28"/>
    <mergeCell ref="V33:V34"/>
    <mergeCell ref="U3:U4"/>
    <mergeCell ref="U5:U6"/>
    <mergeCell ref="U7:U8"/>
    <mergeCell ref="U9:U10"/>
    <mergeCell ref="U11:U12"/>
    <mergeCell ref="U13:U14"/>
    <mergeCell ref="U15:U16"/>
    <mergeCell ref="W29:W30"/>
    <mergeCell ref="V27:V28"/>
    <mergeCell ref="Y39:Y40"/>
    <mergeCell ref="Y41:Y42"/>
    <mergeCell ref="Y43:Y44"/>
    <mergeCell ref="W39:W40"/>
    <mergeCell ref="W41:W42"/>
    <mergeCell ref="W43:W44"/>
    <mergeCell ref="W45:W46"/>
    <mergeCell ref="V29:V30"/>
    <mergeCell ref="Y25:Y26"/>
    <mergeCell ref="Y27:Y28"/>
    <mergeCell ref="Y29:Y30"/>
    <mergeCell ref="Y31:Y32"/>
    <mergeCell ref="Y33:Y34"/>
    <mergeCell ref="Y35:Y36"/>
    <mergeCell ref="Y37:Y38"/>
    <mergeCell ref="W33:W34"/>
    <mergeCell ref="W35:W36"/>
    <mergeCell ref="W37:W38"/>
    <mergeCell ref="W31:W32"/>
    <mergeCell ref="U43:U44"/>
    <mergeCell ref="U45:U46"/>
    <mergeCell ref="W53:W54"/>
    <mergeCell ref="W55:W56"/>
    <mergeCell ref="W57:W58"/>
    <mergeCell ref="W59:W60"/>
    <mergeCell ref="Y49:Y50"/>
    <mergeCell ref="U53:U54"/>
    <mergeCell ref="V51:V52"/>
    <mergeCell ref="U47:U48"/>
    <mergeCell ref="U49:U50"/>
    <mergeCell ref="V47:V48"/>
    <mergeCell ref="U59:U60"/>
    <mergeCell ref="V43:V44"/>
    <mergeCell ref="V45:V46"/>
    <mergeCell ref="U55:U56"/>
    <mergeCell ref="V53:V54"/>
    <mergeCell ref="U51:U52"/>
    <mergeCell ref="Y45:Y46"/>
    <mergeCell ref="Y47:Y48"/>
    <mergeCell ref="W47:W48"/>
    <mergeCell ref="I49:I50"/>
    <mergeCell ref="Y63:Y64"/>
    <mergeCell ref="Y51:Y52"/>
    <mergeCell ref="Y53:Y54"/>
    <mergeCell ref="Y55:Y56"/>
    <mergeCell ref="Y57:Y58"/>
    <mergeCell ref="W51:W52"/>
    <mergeCell ref="V49:V50"/>
    <mergeCell ref="V59:V60"/>
    <mergeCell ref="V57:V58"/>
    <mergeCell ref="V55:V56"/>
    <mergeCell ref="W63:W64"/>
    <mergeCell ref="W61:W62"/>
    <mergeCell ref="U57:U58"/>
    <mergeCell ref="V63:V64"/>
    <mergeCell ref="V61:V62"/>
    <mergeCell ref="U61:U62"/>
    <mergeCell ref="U63:U64"/>
    <mergeCell ref="W49:W50"/>
    <mergeCell ref="Y59:Y60"/>
    <mergeCell ref="Y61:Y62"/>
    <mergeCell ref="S43:S44"/>
    <mergeCell ref="T43:T44"/>
    <mergeCell ref="H45:H46"/>
    <mergeCell ref="S45:S46"/>
    <mergeCell ref="T45:T46"/>
    <mergeCell ref="H59:H60"/>
    <mergeCell ref="S59:S60"/>
    <mergeCell ref="T59:T60"/>
    <mergeCell ref="H57:H58"/>
    <mergeCell ref="S57:S58"/>
    <mergeCell ref="T57:T58"/>
    <mergeCell ref="I51:I52"/>
    <mergeCell ref="I55:I56"/>
    <mergeCell ref="I57:I58"/>
    <mergeCell ref="K43:K44"/>
    <mergeCell ref="K45:K46"/>
    <mergeCell ref="H47:H48"/>
    <mergeCell ref="S47:S48"/>
    <mergeCell ref="S49:S50"/>
    <mergeCell ref="T49:T50"/>
    <mergeCell ref="L55:L56"/>
    <mergeCell ref="L57:L58"/>
    <mergeCell ref="K55:K56"/>
    <mergeCell ref="K57:K58"/>
    <mergeCell ref="H63:H64"/>
    <mergeCell ref="S63:S64"/>
    <mergeCell ref="T63:T64"/>
    <mergeCell ref="H53:H54"/>
    <mergeCell ref="S53:S54"/>
    <mergeCell ref="T53:T54"/>
    <mergeCell ref="H55:H56"/>
    <mergeCell ref="S55:S56"/>
    <mergeCell ref="T55:T56"/>
    <mergeCell ref="H61:H62"/>
    <mergeCell ref="S61:S62"/>
    <mergeCell ref="T61:T62"/>
    <mergeCell ref="L61:L62"/>
    <mergeCell ref="L63:L64"/>
    <mergeCell ref="K61:K62"/>
    <mergeCell ref="K63:K64"/>
    <mergeCell ref="I59:I60"/>
    <mergeCell ref="I61:I62"/>
    <mergeCell ref="I63:I64"/>
    <mergeCell ref="I53:I54"/>
    <mergeCell ref="T37:T38"/>
    <mergeCell ref="V37:V38"/>
    <mergeCell ref="U35:U36"/>
    <mergeCell ref="U37:U38"/>
    <mergeCell ref="K35:K36"/>
    <mergeCell ref="K37:K38"/>
    <mergeCell ref="L37:L38"/>
    <mergeCell ref="L35:L36"/>
    <mergeCell ref="H35:H36"/>
    <mergeCell ref="I35:I36"/>
    <mergeCell ref="I37:I38"/>
    <mergeCell ref="H37:H38"/>
    <mergeCell ref="S37:S38"/>
    <mergeCell ref="L33:L34"/>
    <mergeCell ref="L27:L28"/>
    <mergeCell ref="L29:L30"/>
    <mergeCell ref="L31:L32"/>
    <mergeCell ref="U29:U30"/>
    <mergeCell ref="U31:U32"/>
    <mergeCell ref="U33:U34"/>
    <mergeCell ref="K27:K28"/>
    <mergeCell ref="K29:K30"/>
    <mergeCell ref="K31:K32"/>
    <mergeCell ref="K33:K34"/>
    <mergeCell ref="C63:C64"/>
    <mergeCell ref="H21:H22"/>
    <mergeCell ref="S21:S22"/>
    <mergeCell ref="T21:T22"/>
    <mergeCell ref="V21:V22"/>
    <mergeCell ref="H23:H24"/>
    <mergeCell ref="S23:S24"/>
    <mergeCell ref="T23:T24"/>
    <mergeCell ref="V23:V24"/>
    <mergeCell ref="H25:H26"/>
    <mergeCell ref="C51:C52"/>
    <mergeCell ref="C53:C54"/>
    <mergeCell ref="C55:C56"/>
    <mergeCell ref="C57:C58"/>
    <mergeCell ref="C59:C60"/>
    <mergeCell ref="C61:C62"/>
    <mergeCell ref="C39:C40"/>
    <mergeCell ref="C41:C42"/>
    <mergeCell ref="C43:C44"/>
    <mergeCell ref="C45:C46"/>
    <mergeCell ref="C47:C48"/>
    <mergeCell ref="C49:C50"/>
    <mergeCell ref="C27:C28"/>
    <mergeCell ref="C29:C30"/>
    <mergeCell ref="C31:C32"/>
    <mergeCell ref="C33:C34"/>
    <mergeCell ref="C35:C36"/>
    <mergeCell ref="C37:C38"/>
    <mergeCell ref="V15:V16"/>
    <mergeCell ref="V17:V18"/>
    <mergeCell ref="V19:V20"/>
    <mergeCell ref="C21:C22"/>
    <mergeCell ref="C23:C24"/>
    <mergeCell ref="C25:C26"/>
    <mergeCell ref="S25:S26"/>
    <mergeCell ref="T25:T26"/>
    <mergeCell ref="V25:V26"/>
    <mergeCell ref="U21:U22"/>
    <mergeCell ref="S17:S18"/>
    <mergeCell ref="T17:T18"/>
    <mergeCell ref="S19:S20"/>
    <mergeCell ref="T19:T20"/>
    <mergeCell ref="S15:S16"/>
    <mergeCell ref="T15:T16"/>
    <mergeCell ref="H17:H18"/>
    <mergeCell ref="H33:H34"/>
    <mergeCell ref="S33:S34"/>
    <mergeCell ref="T33:T34"/>
    <mergeCell ref="S3:S4"/>
    <mergeCell ref="T3:T4"/>
    <mergeCell ref="S5:S6"/>
    <mergeCell ref="T5:T6"/>
    <mergeCell ref="S7:S8"/>
    <mergeCell ref="T7:T8"/>
    <mergeCell ref="S9:S10"/>
    <mergeCell ref="T9:T10"/>
    <mergeCell ref="S31:S32"/>
    <mergeCell ref="T31:T32"/>
    <mergeCell ref="S27:S28"/>
    <mergeCell ref="T27:T28"/>
    <mergeCell ref="S11:S12"/>
    <mergeCell ref="T11:T12"/>
    <mergeCell ref="S13:S14"/>
    <mergeCell ref="T13:T14"/>
    <mergeCell ref="S29:S30"/>
    <mergeCell ref="T29:T30"/>
    <mergeCell ref="L3:L4"/>
    <mergeCell ref="L5:L6"/>
    <mergeCell ref="L7:L8"/>
    <mergeCell ref="C3:C4"/>
    <mergeCell ref="H3:H4"/>
    <mergeCell ref="C5:C6"/>
    <mergeCell ref="C7:C8"/>
    <mergeCell ref="C9:C10"/>
    <mergeCell ref="C11:C12"/>
    <mergeCell ref="K3:K4"/>
    <mergeCell ref="K5:K6"/>
    <mergeCell ref="K7:K8"/>
    <mergeCell ref="K9:K10"/>
    <mergeCell ref="K11:K12"/>
    <mergeCell ref="H11:H12"/>
    <mergeCell ref="H5:H6"/>
    <mergeCell ref="H7:H8"/>
    <mergeCell ref="H9:H10"/>
    <mergeCell ref="L11:L12"/>
    <mergeCell ref="H51:H52"/>
    <mergeCell ref="K25:K26"/>
    <mergeCell ref="H27:H28"/>
    <mergeCell ref="I39:I40"/>
    <mergeCell ref="I41:I42"/>
    <mergeCell ref="I43:I44"/>
    <mergeCell ref="H49:H50"/>
    <mergeCell ref="H43:H44"/>
    <mergeCell ref="L25:L26"/>
    <mergeCell ref="L51:L52"/>
    <mergeCell ref="K51:K52"/>
    <mergeCell ref="K47:K48"/>
    <mergeCell ref="K49:K50"/>
    <mergeCell ref="L43:L44"/>
    <mergeCell ref="L45:L46"/>
    <mergeCell ref="L47:L48"/>
    <mergeCell ref="L49:L50"/>
    <mergeCell ref="I47:I48"/>
    <mergeCell ref="H29:H30"/>
    <mergeCell ref="I33:I34"/>
    <mergeCell ref="I27:I28"/>
    <mergeCell ref="I29:I30"/>
    <mergeCell ref="I31:I32"/>
    <mergeCell ref="H31:H32"/>
    <mergeCell ref="I23:I24"/>
    <mergeCell ref="H13:H14"/>
    <mergeCell ref="H15:H16"/>
    <mergeCell ref="H19:H20"/>
    <mergeCell ref="I21:I22"/>
    <mergeCell ref="K19:K20"/>
    <mergeCell ref="K21:K22"/>
    <mergeCell ref="K23:K24"/>
    <mergeCell ref="H41:H42"/>
    <mergeCell ref="H39:H40"/>
    <mergeCell ref="C15:C16"/>
    <mergeCell ref="C17:C18"/>
    <mergeCell ref="C19:C20"/>
    <mergeCell ref="L13:L14"/>
    <mergeCell ref="L15:L16"/>
    <mergeCell ref="L17:L18"/>
    <mergeCell ref="L19:L20"/>
    <mergeCell ref="I19:I20"/>
    <mergeCell ref="I17:I18"/>
    <mergeCell ref="K17:K18"/>
    <mergeCell ref="C13:C14"/>
    <mergeCell ref="AF13:AF14"/>
    <mergeCell ref="AF15:AF16"/>
    <mergeCell ref="I3:I4"/>
    <mergeCell ref="I5:I6"/>
    <mergeCell ref="I7:I8"/>
    <mergeCell ref="I9:I10"/>
    <mergeCell ref="I11:I12"/>
    <mergeCell ref="I13:I14"/>
    <mergeCell ref="I15:I16"/>
    <mergeCell ref="K13:K14"/>
    <mergeCell ref="K15:K16"/>
    <mergeCell ref="W3:W4"/>
    <mergeCell ref="W5:W6"/>
    <mergeCell ref="W7:W8"/>
    <mergeCell ref="W9:W10"/>
    <mergeCell ref="W11:W12"/>
    <mergeCell ref="W13:W14"/>
    <mergeCell ref="Y3:Y4"/>
    <mergeCell ref="Y5:Y6"/>
    <mergeCell ref="Y7:Y8"/>
    <mergeCell ref="L9:L10"/>
    <mergeCell ref="Y9:Y10"/>
    <mergeCell ref="W15:W16"/>
    <mergeCell ref="AE13:AE14"/>
    <mergeCell ref="AE15:AE16"/>
    <mergeCell ref="L21:L22"/>
    <mergeCell ref="L23:L24"/>
    <mergeCell ref="W17:W18"/>
    <mergeCell ref="W19:W20"/>
    <mergeCell ref="W21:W22"/>
    <mergeCell ref="W23:W24"/>
    <mergeCell ref="U23:U24"/>
    <mergeCell ref="U17:U18"/>
    <mergeCell ref="U19:U20"/>
    <mergeCell ref="Y15:Y16"/>
    <mergeCell ref="Y17:Y18"/>
    <mergeCell ref="Y19:Y20"/>
    <mergeCell ref="Y21:Y22"/>
    <mergeCell ref="Y23:Y24"/>
    <mergeCell ref="U69:U70"/>
    <mergeCell ref="V69:V70"/>
    <mergeCell ref="S65:S66"/>
    <mergeCell ref="T65:T66"/>
    <mergeCell ref="U65:U66"/>
    <mergeCell ref="V65:V66"/>
    <mergeCell ref="W65:W66"/>
    <mergeCell ref="Y65:Y66"/>
    <mergeCell ref="C67:C68"/>
    <mergeCell ref="H67:H68"/>
    <mergeCell ref="I67:I68"/>
    <mergeCell ref="K67:K68"/>
    <mergeCell ref="L67:L68"/>
    <mergeCell ref="S67:S68"/>
    <mergeCell ref="T67:T68"/>
    <mergeCell ref="U67:U68"/>
    <mergeCell ref="V67:V68"/>
    <mergeCell ref="W67:W68"/>
    <mergeCell ref="Y67:Y68"/>
    <mergeCell ref="C65:C66"/>
    <mergeCell ref="H65:H66"/>
    <mergeCell ref="I65:I66"/>
    <mergeCell ref="K65:K66"/>
    <mergeCell ref="L65:L66"/>
    <mergeCell ref="AE76:AE77"/>
    <mergeCell ref="AF76:AF77"/>
    <mergeCell ref="AE78:AE79"/>
    <mergeCell ref="AF78:AF79"/>
    <mergeCell ref="W69:W70"/>
    <mergeCell ref="Y69:Y70"/>
    <mergeCell ref="C71:C72"/>
    <mergeCell ref="H71:H72"/>
    <mergeCell ref="I71:I72"/>
    <mergeCell ref="K71:K72"/>
    <mergeCell ref="L71:L72"/>
    <mergeCell ref="S71:S72"/>
    <mergeCell ref="T71:T72"/>
    <mergeCell ref="U71:U72"/>
    <mergeCell ref="V71:V72"/>
    <mergeCell ref="W71:W72"/>
    <mergeCell ref="Y71:Y72"/>
    <mergeCell ref="C69:C70"/>
    <mergeCell ref="H69:H70"/>
    <mergeCell ref="I69:I70"/>
    <mergeCell ref="K69:K70"/>
    <mergeCell ref="L69:L70"/>
    <mergeCell ref="S69:S70"/>
    <mergeCell ref="T69:T70"/>
  </mergeCells>
  <phoneticPr fontId="6" type="noConversion"/>
  <pageMargins left="0.7" right="0.7" top="0.75" bottom="0.75" header="0.3" footer="0.3"/>
  <ignoredErrors>
    <ignoredError sqref="V3:V64 X6:X14 X15:X25 X29 X27 X26 X28 X30:X41 X63 X61 X59 X57 X55 X53 X51 X47 X45 X43 X49 X42 X50 X44 X46 X48 X52 X54 X56 X58 X60 X62 X64 V65:V72 X65:X72" formula="1"/>
  </ignoredError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8FDB-9E77-403B-9348-03847BC21E9E}">
  <dimension ref="A1:O41"/>
  <sheetViews>
    <sheetView zoomScaleNormal="100" zoomScaleSheetLayoutView="85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H35" sqref="H35"/>
    </sheetView>
  </sheetViews>
  <sheetFormatPr baseColWidth="10" defaultColWidth="10.90625" defaultRowHeight="14.5" x14ac:dyDescent="0.35"/>
  <cols>
    <col min="1" max="1" width="7.54296875" style="329" customWidth="1"/>
    <col min="2" max="2" width="10.90625" style="329"/>
    <col min="3" max="5" width="8.1796875" style="329" customWidth="1"/>
    <col min="6" max="7" width="9.36328125" style="329" customWidth="1"/>
    <col min="8" max="9" width="8.1796875" style="329" customWidth="1"/>
    <col min="10" max="10" width="7.6328125" style="329" customWidth="1"/>
    <col min="11" max="11" width="18.90625" style="329" customWidth="1"/>
    <col min="12" max="12" width="10.90625" style="329"/>
    <col min="13" max="13" width="11.6328125" style="329" bestFit="1" customWidth="1"/>
    <col min="14" max="14" width="13" style="329" bestFit="1" customWidth="1"/>
    <col min="15" max="15" width="11.453125" style="329" bestFit="1" customWidth="1"/>
    <col min="16" max="16384" width="10.90625" style="329"/>
  </cols>
  <sheetData>
    <row r="1" spans="1:15" x14ac:dyDescent="0.35">
      <c r="E1" s="330">
        <v>0</v>
      </c>
    </row>
    <row r="2" spans="1:15" x14ac:dyDescent="0.35">
      <c r="B2" s="520" t="s">
        <v>471</v>
      </c>
      <c r="C2" s="520"/>
      <c r="D2" s="520"/>
      <c r="E2" s="520"/>
      <c r="F2" s="520"/>
      <c r="G2" s="520"/>
      <c r="H2" s="520"/>
      <c r="I2" s="520"/>
      <c r="J2" s="520"/>
      <c r="K2" s="520" t="s">
        <v>472</v>
      </c>
      <c r="L2" s="331" t="s">
        <v>473</v>
      </c>
      <c r="M2" s="331">
        <v>20353019</v>
      </c>
      <c r="N2" s="332">
        <f>M2/1000000</f>
        <v>20.353019</v>
      </c>
      <c r="O2" s="329">
        <f>+N2*31</f>
        <v>630.94358899999997</v>
      </c>
    </row>
    <row r="3" spans="1:15" x14ac:dyDescent="0.35">
      <c r="B3" s="521" t="s">
        <v>474</v>
      </c>
      <c r="C3" s="523" t="s">
        <v>473</v>
      </c>
      <c r="D3" s="524"/>
      <c r="E3" s="525"/>
      <c r="F3" s="526" t="s">
        <v>475</v>
      </c>
      <c r="G3" s="527"/>
      <c r="H3" s="528"/>
      <c r="I3" s="529" t="s">
        <v>476</v>
      </c>
      <c r="J3" s="531" t="s">
        <v>146</v>
      </c>
      <c r="K3" s="520"/>
      <c r="L3" s="331"/>
      <c r="M3" s="331"/>
      <c r="N3" s="332"/>
    </row>
    <row r="4" spans="1:15" ht="29" x14ac:dyDescent="0.35">
      <c r="B4" s="522"/>
      <c r="C4" s="333" t="s">
        <v>487</v>
      </c>
      <c r="D4" s="333" t="s">
        <v>478</v>
      </c>
      <c r="E4" s="333" t="s">
        <v>479</v>
      </c>
      <c r="F4" s="334" t="s">
        <v>477</v>
      </c>
      <c r="G4" s="334" t="s">
        <v>478</v>
      </c>
      <c r="H4" s="334" t="s">
        <v>479</v>
      </c>
      <c r="I4" s="530"/>
      <c r="J4" s="532"/>
      <c r="K4" s="520"/>
      <c r="L4" s="332" t="s">
        <v>475</v>
      </c>
      <c r="M4" s="331">
        <v>15978411</v>
      </c>
      <c r="N4" s="335">
        <f>M4/1000000</f>
        <v>15.978410999999999</v>
      </c>
      <c r="O4" s="329">
        <f>+N4*31</f>
        <v>495.33074099999999</v>
      </c>
    </row>
    <row r="5" spans="1:15" x14ac:dyDescent="0.35">
      <c r="A5" s="342"/>
      <c r="B5" s="336">
        <v>46204</v>
      </c>
      <c r="C5" s="337">
        <v>22.103464276857288</v>
      </c>
      <c r="D5" s="355">
        <f>+'01-07 A'!P43+'01-07 B'!P40</f>
        <v>222.00973438944925</v>
      </c>
      <c r="E5" s="337">
        <v>0</v>
      </c>
      <c r="F5" s="337">
        <v>16.577725477062359</v>
      </c>
      <c r="G5" s="355">
        <f>+'01-07 A'!P42+'01-07 B'!P39</f>
        <v>140.86288153702526</v>
      </c>
      <c r="H5" s="337"/>
      <c r="I5" s="337">
        <f>+$M$14/30</f>
        <v>15.833333333333334</v>
      </c>
      <c r="J5" s="337">
        <f>+C5+E5+F5+H5+I5</f>
        <v>54.514523087252982</v>
      </c>
      <c r="K5" s="337"/>
      <c r="O5" s="331">
        <f>SUM(O2:O4)</f>
        <v>1126.27433</v>
      </c>
    </row>
    <row r="6" spans="1:15" x14ac:dyDescent="0.35">
      <c r="A6" s="342"/>
      <c r="B6" s="336">
        <f t="shared" ref="B6:B18" si="0">+B5+1</f>
        <v>46205</v>
      </c>
      <c r="C6" s="337">
        <v>19.498877353108956</v>
      </c>
      <c r="D6" s="355">
        <f>+'02-07A'!P43+'02-07B'!P43</f>
        <v>162.08987467199086</v>
      </c>
      <c r="E6" s="337">
        <v>0</v>
      </c>
      <c r="F6" s="337">
        <v>4.7218064516129026</v>
      </c>
      <c r="G6" s="355">
        <f>+'02-07A'!P42+'02-07B'!P42</f>
        <v>40.121744310135185</v>
      </c>
      <c r="H6" s="337"/>
      <c r="I6" s="337">
        <f t="shared" ref="I6:I34" si="1">+$M$14/30</f>
        <v>15.833333333333334</v>
      </c>
      <c r="J6" s="337">
        <f t="shared" ref="J6:J35" si="2">+C6+E6+F6+H6+I6</f>
        <v>40.054017138055194</v>
      </c>
      <c r="K6" s="337"/>
      <c r="O6" s="329">
        <v>480</v>
      </c>
    </row>
    <row r="7" spans="1:15" x14ac:dyDescent="0.35">
      <c r="A7" s="342"/>
      <c r="B7" s="336">
        <f t="shared" si="0"/>
        <v>46206</v>
      </c>
      <c r="C7" s="337">
        <v>18.370843126069591</v>
      </c>
      <c r="D7" s="355">
        <f>+'03-07A'!M43+'03-07B'!M43</f>
        <v>218.27794820308037</v>
      </c>
      <c r="E7" s="337">
        <v>0</v>
      </c>
      <c r="F7" s="337">
        <v>14.596608495483871</v>
      </c>
      <c r="G7" s="355">
        <f>+'03-07A'!M42+'03-07A'!M44+'03-07B'!M42+'03-07B'!M44</f>
        <v>125.39181988159315</v>
      </c>
      <c r="H7" s="337"/>
      <c r="I7" s="337">
        <f t="shared" si="1"/>
        <v>15.833333333333334</v>
      </c>
      <c r="J7" s="337">
        <f t="shared" si="2"/>
        <v>48.800784954886801</v>
      </c>
      <c r="K7" s="337"/>
      <c r="O7" s="331">
        <f>+O5+O6</f>
        <v>1606.27433</v>
      </c>
    </row>
    <row r="8" spans="1:15" x14ac:dyDescent="0.35">
      <c r="A8" s="342"/>
      <c r="B8" s="336">
        <f t="shared" si="0"/>
        <v>46207</v>
      </c>
      <c r="C8" s="337">
        <v>10.546220496246434</v>
      </c>
      <c r="D8" s="355">
        <f>+'04-07A'!M43+'04-07A'!M45+'04-07B'!M43+'04-07B'!M45</f>
        <v>70.255098417850405</v>
      </c>
      <c r="E8" s="337">
        <v>0</v>
      </c>
      <c r="F8" s="337">
        <v>12.810041349677419</v>
      </c>
      <c r="G8" s="355">
        <f>+'04-07A'!M42+'04-07A'!M44+'04-07B'!M42+'04-07B'!M44</f>
        <v>90.082690215578282</v>
      </c>
      <c r="H8" s="337"/>
      <c r="I8" s="337">
        <f t="shared" si="1"/>
        <v>15.833333333333334</v>
      </c>
      <c r="J8" s="337">
        <f t="shared" si="2"/>
        <v>39.189595179257189</v>
      </c>
      <c r="K8" s="337"/>
      <c r="O8" s="331">
        <f>+O7/31</f>
        <v>51.815300967741933</v>
      </c>
    </row>
    <row r="9" spans="1:15" x14ac:dyDescent="0.35">
      <c r="A9" s="342"/>
      <c r="B9" s="336">
        <f t="shared" si="0"/>
        <v>46208</v>
      </c>
      <c r="C9" s="337">
        <v>3.0259891200000002</v>
      </c>
      <c r="D9" s="355">
        <f>+'05-07A'!M43+'05-07A'!M45+'05-07B'!M43+'05-07B'!M45</f>
        <v>27.045173272310663</v>
      </c>
      <c r="E9" s="337">
        <v>0</v>
      </c>
      <c r="F9" s="337">
        <v>8.9361290322580622</v>
      </c>
      <c r="G9" s="355">
        <f>+'05-07A'!M42+'05-07A'!M44+'05-07B'!M42+'05-07B'!M44</f>
        <v>75.931338530863314</v>
      </c>
      <c r="H9" s="337"/>
      <c r="I9" s="337">
        <f t="shared" si="1"/>
        <v>15.833333333333334</v>
      </c>
      <c r="J9" s="337">
        <f t="shared" si="2"/>
        <v>27.795451485591396</v>
      </c>
      <c r="K9" s="337"/>
    </row>
    <row r="10" spans="1:15" x14ac:dyDescent="0.35">
      <c r="A10" s="342"/>
      <c r="B10" s="336">
        <f t="shared" si="0"/>
        <v>46209</v>
      </c>
      <c r="C10" s="337">
        <v>16.738616552022588</v>
      </c>
      <c r="D10" s="355">
        <f>+'06-07A'!M43+'06-07A'!M45+'06-07B'!M44+'06-07B'!M46</f>
        <v>168.12458754043513</v>
      </c>
      <c r="E10" s="337">
        <v>0</v>
      </c>
      <c r="F10" s="337">
        <v>8.1043830509545742</v>
      </c>
      <c r="G10" s="355">
        <f>+'06-07A'!M42+'06-07A'!M44+'06-07B'!M43+'06-07B'!M45</f>
        <v>129.61339861531354</v>
      </c>
      <c r="H10" s="337"/>
      <c r="I10" s="337">
        <f t="shared" si="1"/>
        <v>15.833333333333334</v>
      </c>
      <c r="J10" s="337">
        <f t="shared" si="2"/>
        <v>40.676332936310494</v>
      </c>
      <c r="K10" s="337"/>
      <c r="L10" s="329" t="s">
        <v>187</v>
      </c>
      <c r="M10" s="329">
        <v>12000</v>
      </c>
    </row>
    <row r="11" spans="1:15" x14ac:dyDescent="0.35">
      <c r="A11" s="342"/>
      <c r="B11" s="336">
        <f t="shared" si="0"/>
        <v>46210</v>
      </c>
      <c r="C11" s="337">
        <v>17.152148139864462</v>
      </c>
      <c r="D11" s="355">
        <f>+'07-07A'!M44+'07-07A'!M46+'07-07B'!M44+'07-07B'!M46</f>
        <v>68.37979369068006</v>
      </c>
      <c r="E11" s="337">
        <v>0</v>
      </c>
      <c r="F11" s="337">
        <v>4.7277247262756923</v>
      </c>
      <c r="G11" s="355">
        <f>+'07-07A'!M43+'07-07A'!M45+'07-07B'!M43+'07-07B'!M45</f>
        <v>127.87798797576052</v>
      </c>
      <c r="H11" s="337"/>
      <c r="I11" s="337">
        <f t="shared" si="1"/>
        <v>15.833333333333334</v>
      </c>
      <c r="J11" s="337">
        <f t="shared" si="2"/>
        <v>37.71320619947349</v>
      </c>
      <c r="K11" s="337"/>
      <c r="L11" s="329" t="s">
        <v>480</v>
      </c>
      <c r="M11" s="329">
        <v>24</v>
      </c>
    </row>
    <row r="12" spans="1:15" x14ac:dyDescent="0.35">
      <c r="A12" s="342"/>
      <c r="B12" s="336">
        <f t="shared" si="0"/>
        <v>46211</v>
      </c>
      <c r="C12" s="337">
        <v>8.9174235614106578</v>
      </c>
      <c r="D12" s="355">
        <f>+'08-07A'!M49+'08-07A'!M50+'08-07B'!M50+'08-07B'!M51</f>
        <v>89.567626662931517</v>
      </c>
      <c r="E12" s="337">
        <v>0</v>
      </c>
      <c r="F12" s="337">
        <v>11.575437419354838</v>
      </c>
      <c r="G12" s="355">
        <f>+'08-07A'!M45+'08-07A'!M46+'08-07B'!M46+'08-07B'!M47</f>
        <v>98.357852058651034</v>
      </c>
      <c r="H12" s="337"/>
      <c r="I12" s="337">
        <f t="shared" si="1"/>
        <v>15.833333333333334</v>
      </c>
      <c r="J12" s="337">
        <f t="shared" si="2"/>
        <v>36.326194314098828</v>
      </c>
      <c r="K12" s="337"/>
      <c r="M12" s="329">
        <f>+M10/M11</f>
        <v>500</v>
      </c>
    </row>
    <row r="13" spans="1:15" x14ac:dyDescent="0.35">
      <c r="A13" s="342"/>
      <c r="B13" s="336">
        <f t="shared" si="0"/>
        <v>46212</v>
      </c>
      <c r="C13" s="337">
        <v>15.992266930542138</v>
      </c>
      <c r="D13" s="355">
        <f>+'09-07A'!M48+'09-07A'!M49+'09-07B'!M48+'09-07B'!M49</f>
        <v>160.62816620344012</v>
      </c>
      <c r="E13" s="337">
        <v>0</v>
      </c>
      <c r="F13" s="337">
        <v>10.073896397032254</v>
      </c>
      <c r="G13" s="355">
        <f>+'09-07A'!M44+'09-07A'!M45+'09-07B'!M44+'09-07B'!M45</f>
        <v>55.261140819683845</v>
      </c>
      <c r="H13" s="337"/>
      <c r="I13" s="337">
        <f t="shared" si="1"/>
        <v>15.833333333333334</v>
      </c>
      <c r="J13" s="337">
        <f t="shared" si="2"/>
        <v>41.89949666090773</v>
      </c>
      <c r="K13" s="337"/>
      <c r="M13" s="338">
        <v>0.95</v>
      </c>
      <c r="N13" s="329">
        <f>M11/M13</f>
        <v>25.263157894736842</v>
      </c>
    </row>
    <row r="14" spans="1:15" x14ac:dyDescent="0.35">
      <c r="A14" s="342"/>
      <c r="B14" s="336">
        <f t="shared" si="0"/>
        <v>46213</v>
      </c>
      <c r="C14" s="337">
        <v>14.019853964632059</v>
      </c>
      <c r="D14" s="355">
        <f>+'10-07A'!M48+'10-07A'!M49+'10-07B'!M48+'10-07B'!M49</f>
        <v>140.81702378779232</v>
      </c>
      <c r="E14" s="337">
        <v>0</v>
      </c>
      <c r="F14" s="337">
        <v>8.4736567741935467</v>
      </c>
      <c r="G14" s="355">
        <f>+'10-07A'!M44+'10-07A'!M45+'10-07B'!M44+'10-07B'!M45</f>
        <v>72.00165740590802</v>
      </c>
      <c r="H14" s="337"/>
      <c r="I14" s="337">
        <f t="shared" si="1"/>
        <v>15.833333333333334</v>
      </c>
      <c r="J14" s="337">
        <f t="shared" si="2"/>
        <v>38.326844072158941</v>
      </c>
      <c r="K14" s="337"/>
      <c r="M14" s="329">
        <f>+M13*M12</f>
        <v>475</v>
      </c>
    </row>
    <row r="15" spans="1:15" x14ac:dyDescent="0.35">
      <c r="A15" s="342"/>
      <c r="B15" s="336">
        <f t="shared" si="0"/>
        <v>46214</v>
      </c>
      <c r="C15" s="337">
        <v>31.537624942110668</v>
      </c>
      <c r="D15" s="355">
        <f>+'11-07A'!M49+'11-07A'!M50+'11-07B'!M49+'11-07B'!M50</f>
        <v>311.29313376031325</v>
      </c>
      <c r="E15" s="337">
        <v>0</v>
      </c>
      <c r="F15" s="337">
        <v>12.554709677419353</v>
      </c>
      <c r="G15" s="355">
        <f>+'11-07A'!M45+'11-07A'!M46+'11-07B'!M45+'11-07B'!M46</f>
        <v>106.67884351620056</v>
      </c>
      <c r="H15" s="337"/>
      <c r="I15" s="337">
        <f t="shared" si="1"/>
        <v>15.833333333333334</v>
      </c>
      <c r="J15" s="337">
        <f t="shared" si="2"/>
        <v>59.925667952863357</v>
      </c>
      <c r="K15" s="337"/>
    </row>
    <row r="16" spans="1:15" x14ac:dyDescent="0.35">
      <c r="A16" s="342"/>
      <c r="B16" s="336">
        <f t="shared" si="0"/>
        <v>46215</v>
      </c>
      <c r="C16" s="337">
        <v>13.78964289788933</v>
      </c>
      <c r="D16" s="355">
        <f>+'12-07A'!M51+'12-07A'!M52+'12-07B'!M53+'12-07B'!M54</f>
        <v>138.50475738733596</v>
      </c>
      <c r="E16" s="337">
        <v>0</v>
      </c>
      <c r="F16" s="337">
        <v>36.162386305161291</v>
      </c>
      <c r="G16" s="355">
        <f>+'12-07A'!M46+'12-07A'!M47+'12-07A'!M48+'12-07B'!M47+'12-07B'!M48+'12-07B'!M49+'12-07B'!M50</f>
        <v>310.09632412961338</v>
      </c>
      <c r="H16" s="337"/>
      <c r="I16" s="337">
        <f t="shared" si="1"/>
        <v>15.833333333333334</v>
      </c>
      <c r="J16" s="337">
        <f t="shared" si="2"/>
        <v>65.785362536383957</v>
      </c>
      <c r="K16" s="337"/>
    </row>
    <row r="17" spans="1:11" x14ac:dyDescent="0.35">
      <c r="A17" s="342"/>
      <c r="B17" s="336">
        <f t="shared" si="0"/>
        <v>46216</v>
      </c>
      <c r="C17" s="337">
        <v>16.279757671831142</v>
      </c>
      <c r="D17" s="355">
        <f>+'13-07A'!M53+'13-07A'!M54+'13-07B'!M53+'13-07B'!M54</f>
        <v>162.80170482763674</v>
      </c>
      <c r="E17" s="337">
        <v>0</v>
      </c>
      <c r="F17" s="337">
        <v>26.67266838709677</v>
      </c>
      <c r="G17" s="355">
        <f>+'13-07A'!M46+'13-07A'!M47+'13-07A'!M48+'13-07A'!M49+'13-07B'!M47+'13-07B'!M48+'13-07B'!M49+'13-07B'!M50</f>
        <v>196.29657146126885</v>
      </c>
      <c r="H17" s="337"/>
      <c r="I17" s="337">
        <f t="shared" si="1"/>
        <v>15.833333333333334</v>
      </c>
      <c r="J17" s="337">
        <f t="shared" si="2"/>
        <v>58.785759392261248</v>
      </c>
      <c r="K17" s="337"/>
    </row>
    <row r="18" spans="1:11" x14ac:dyDescent="0.35">
      <c r="A18" s="342"/>
      <c r="B18" s="336">
        <f t="shared" si="0"/>
        <v>46217</v>
      </c>
      <c r="C18" s="337">
        <v>25.497142873519678</v>
      </c>
      <c r="D18" s="355">
        <f>+'14-07A'!M53+'14-07A'!M54+'14-07B'!M51+'14-07B'!M52</f>
        <v>250.85985508321733</v>
      </c>
      <c r="E18" s="337">
        <v>0</v>
      </c>
      <c r="F18" s="337">
        <v>11.704563870967741</v>
      </c>
      <c r="G18" s="355">
        <f>+'14-07A'!M46+'14-07A'!M47+'14-07A'!M48+'14-07A'!M49+'14-07B'!M45+'14-07B'!M46+'14-07B'!M47+'14-07B'!M48</f>
        <v>99.455054692511268</v>
      </c>
      <c r="H18" s="337"/>
      <c r="I18" s="337">
        <f t="shared" si="1"/>
        <v>15.833333333333334</v>
      </c>
      <c r="J18" s="337">
        <f t="shared" si="2"/>
        <v>53.035040077820753</v>
      </c>
      <c r="K18" s="337"/>
    </row>
    <row r="19" spans="1:11" x14ac:dyDescent="0.35">
      <c r="A19" s="342"/>
      <c r="B19" s="336">
        <v>46218</v>
      </c>
      <c r="C19" s="337">
        <v>10.796899030233885</v>
      </c>
      <c r="D19" s="355">
        <f>+'15-07A'!M53+'15-07A'!M54+'15-07B'!M54+'15-07B'!M55</f>
        <v>108.44529418140328</v>
      </c>
      <c r="E19" s="337">
        <f t="shared" ref="E19:E35" si="3">+$E$1*$N$2</f>
        <v>0</v>
      </c>
      <c r="F19" s="337"/>
      <c r="G19" s="355">
        <f>+'15-07A'!M46+'15-07A'!M47+'15-07A'!M48+'15-07A'!M49+'15-07B'!M46+'15-07B'!M47+'15-07B'!M48+'15-07B'!M49</f>
        <v>0</v>
      </c>
      <c r="H19" s="337">
        <f t="shared" ref="H19:H34" si="4">$N$4</f>
        <v>15.978410999999999</v>
      </c>
      <c r="I19" s="337">
        <f t="shared" si="1"/>
        <v>15.833333333333334</v>
      </c>
      <c r="J19" s="337">
        <f t="shared" si="2"/>
        <v>42.608643363567218</v>
      </c>
      <c r="K19" s="337"/>
    </row>
    <row r="20" spans="1:11" x14ac:dyDescent="0.35">
      <c r="A20" s="342"/>
      <c r="B20" s="336">
        <v>46219</v>
      </c>
      <c r="C20" s="337">
        <v>14.900645442076069</v>
      </c>
      <c r="D20" s="355">
        <f>+'16-07A'!M57+'16-07A'!M58+'16-07B'!M57+'16-07B'!M58</f>
        <v>142.20438362806615</v>
      </c>
      <c r="E20" s="337">
        <f t="shared" si="3"/>
        <v>0</v>
      </c>
      <c r="F20" s="337"/>
      <c r="G20" s="355">
        <f>+'16-07A'!M49+'16-07A'!M50+'16-07A'!M51+'16-07A'!M52+'16-07B'!M49+'16-07B'!M50+'16-07B'!M51+'16-07B'!M52</f>
        <v>0</v>
      </c>
      <c r="H20" s="337">
        <f t="shared" si="4"/>
        <v>15.978410999999999</v>
      </c>
      <c r="I20" s="337">
        <f t="shared" si="1"/>
        <v>15.833333333333334</v>
      </c>
      <c r="J20" s="337">
        <f t="shared" si="2"/>
        <v>46.712389775409406</v>
      </c>
      <c r="K20" s="337"/>
    </row>
    <row r="21" spans="1:11" x14ac:dyDescent="0.35">
      <c r="A21" s="342"/>
      <c r="B21" s="336">
        <v>46220</v>
      </c>
      <c r="C21" s="337">
        <v>19.282853585815722</v>
      </c>
      <c r="D21" s="355">
        <f>+'17-07A'!M57+'17-07A'!M58+'17-07B'!M57+'17-07B'!M58</f>
        <v>181.7441390758699</v>
      </c>
      <c r="E21" s="337">
        <f t="shared" si="3"/>
        <v>0</v>
      </c>
      <c r="F21" s="337"/>
      <c r="G21" s="355">
        <f>+'17-07A'!M49+'17-07A'!M50+'17-07A'!M51+'17-07A'!M52+'17-07B'!M49+'17-07B'!M50+'17-07B'!M51+'17-07B'!M52</f>
        <v>0</v>
      </c>
      <c r="H21" s="337">
        <f t="shared" si="4"/>
        <v>15.978410999999999</v>
      </c>
      <c r="I21" s="337">
        <f t="shared" si="1"/>
        <v>15.833333333333334</v>
      </c>
      <c r="J21" s="337">
        <f t="shared" si="2"/>
        <v>51.094597919149059</v>
      </c>
      <c r="K21" s="337"/>
    </row>
    <row r="22" spans="1:11" x14ac:dyDescent="0.35">
      <c r="A22" s="342"/>
      <c r="B22" s="336">
        <v>46221</v>
      </c>
      <c r="C22" s="337">
        <v>12.1321232173417</v>
      </c>
      <c r="D22" s="355">
        <f>+'18-07A'!M58+'18-07A'!M59+'18-07B'!M57+'18-07B'!M58</f>
        <v>121.85643930405018</v>
      </c>
      <c r="E22" s="337">
        <f t="shared" si="3"/>
        <v>0</v>
      </c>
      <c r="F22" s="337"/>
      <c r="G22" s="355">
        <f>+'18-07A'!M50+'18-07A'!M51+'18-07A'!M52+'18-07A'!M53+'18-07B'!M49+'18-07B'!M50+'18-07B'!M51+'18-07B'!M52</f>
        <v>0</v>
      </c>
      <c r="H22" s="337">
        <f t="shared" si="4"/>
        <v>15.978410999999999</v>
      </c>
      <c r="I22" s="337">
        <f t="shared" si="1"/>
        <v>15.833333333333334</v>
      </c>
      <c r="J22" s="337">
        <f t="shared" si="2"/>
        <v>43.943867550675037</v>
      </c>
      <c r="K22" s="337"/>
    </row>
    <row r="23" spans="1:11" x14ac:dyDescent="0.35">
      <c r="A23" s="342"/>
      <c r="B23" s="336">
        <v>46222</v>
      </c>
      <c r="C23" s="337">
        <v>15.608310325156873</v>
      </c>
      <c r="D23" s="355">
        <f>+'19-07A'!M58+'19-07A'!M59+'19-07B'!M54+'19-07B'!M55</f>
        <v>156.77166195094119</v>
      </c>
      <c r="E23" s="337">
        <f t="shared" si="3"/>
        <v>0</v>
      </c>
      <c r="F23" s="337"/>
      <c r="G23" s="355">
        <f>+'19-07A'!M50+'19-07A'!M51+'19-07A'!M52+'19-07A'!M53+'19-07B'!M46+'19-07B'!M47+'19-07B'!M48+'19-07B'!M49</f>
        <v>0</v>
      </c>
      <c r="H23" s="337">
        <f t="shared" si="4"/>
        <v>15.978410999999999</v>
      </c>
      <c r="I23" s="337">
        <f t="shared" si="1"/>
        <v>15.833333333333334</v>
      </c>
      <c r="J23" s="337">
        <f t="shared" si="2"/>
        <v>47.420054658490209</v>
      </c>
      <c r="K23" s="337"/>
    </row>
    <row r="24" spans="1:11" x14ac:dyDescent="0.35">
      <c r="A24" s="342"/>
      <c r="B24" s="336">
        <v>46223</v>
      </c>
      <c r="C24" s="337">
        <v>8.9243810610382184</v>
      </c>
      <c r="D24" s="355">
        <f>+'20-07A'!M53+'20-07A'!M54+'20-07B'!M53+'20-07B'!M54</f>
        <v>89.63750858845151</v>
      </c>
      <c r="E24" s="337">
        <f t="shared" si="3"/>
        <v>0</v>
      </c>
      <c r="F24" s="337"/>
      <c r="G24" s="355">
        <f>+'20-07A'!M45+'20-07A'!M46+'20-07A'!M47+'20-07A'!M48+'20-07B'!M45+'20-07B'!M46+'20-07B'!M47+'20-07B'!M48</f>
        <v>0</v>
      </c>
      <c r="H24" s="337">
        <f t="shared" si="4"/>
        <v>15.978410999999999</v>
      </c>
      <c r="I24" s="337">
        <f t="shared" si="1"/>
        <v>15.833333333333334</v>
      </c>
      <c r="J24" s="337">
        <f t="shared" si="2"/>
        <v>40.736125394371555</v>
      </c>
      <c r="K24" s="337"/>
    </row>
    <row r="25" spans="1:11" x14ac:dyDescent="0.35">
      <c r="A25" s="342"/>
      <c r="B25" s="336">
        <v>46224</v>
      </c>
      <c r="C25" s="337">
        <v>6.3812892184826016</v>
      </c>
      <c r="D25" s="355">
        <f>+'21-07A'!M53+'21-07A'!M54+'21-07B'!M53+'21-07B'!M54</f>
        <v>64.094401977562271</v>
      </c>
      <c r="E25" s="337">
        <f t="shared" si="3"/>
        <v>0</v>
      </c>
      <c r="F25" s="337"/>
      <c r="G25" s="355">
        <f>+'21-07A'!M45+'21-07A'!M46+'21-07A'!M47+'21-07A'!M48+'21-07B'!M45+'21-07B'!M46+'21-07B'!M47+'21-07B'!M48</f>
        <v>0</v>
      </c>
      <c r="H25" s="337">
        <f t="shared" si="4"/>
        <v>15.978410999999999</v>
      </c>
      <c r="I25" s="337">
        <f t="shared" si="1"/>
        <v>15.833333333333334</v>
      </c>
      <c r="J25" s="337">
        <f t="shared" si="2"/>
        <v>38.193033551815937</v>
      </c>
      <c r="K25" s="337"/>
    </row>
    <row r="26" spans="1:11" x14ac:dyDescent="0.35">
      <c r="A26" s="342"/>
      <c r="B26" s="336">
        <v>46225</v>
      </c>
      <c r="C26" s="337">
        <f>+Venta!E45+Venta!E46</f>
        <v>0</v>
      </c>
      <c r="D26" s="355">
        <f>+'22-07A'!M53+'22-07A'!M54+'22-07B '!M51+'22-07B '!M52</f>
        <v>0</v>
      </c>
      <c r="E26" s="337">
        <f t="shared" si="3"/>
        <v>0</v>
      </c>
      <c r="F26" s="337"/>
      <c r="G26" s="355">
        <f>+'22-07A'!M45+'22-07A'!M46+'22-07A'!M47+'22-07A'!M48+'22-07B '!M43+'22-07B '!M44+'22-07B '!M45+'22-07B '!M46</f>
        <v>0</v>
      </c>
      <c r="H26" s="337">
        <f t="shared" si="4"/>
        <v>15.978410999999999</v>
      </c>
      <c r="I26" s="337">
        <f t="shared" si="1"/>
        <v>15.833333333333334</v>
      </c>
      <c r="J26" s="337">
        <f t="shared" si="2"/>
        <v>31.811744333333333</v>
      </c>
      <c r="K26" s="337"/>
    </row>
    <row r="27" spans="1:11" x14ac:dyDescent="0.35">
      <c r="A27" s="342"/>
      <c r="B27" s="336">
        <v>46226</v>
      </c>
      <c r="C27" s="337">
        <f>+Venta!E47+Venta!E48</f>
        <v>5.2510937599036573</v>
      </c>
      <c r="D27" s="355">
        <f>+'23-07A '!M54+'23-07A '!M55+'23-07B'!M52+'23-07B'!M53</f>
        <v>82.754797490017097</v>
      </c>
      <c r="E27" s="337">
        <f t="shared" si="3"/>
        <v>0</v>
      </c>
      <c r="F27" s="337"/>
      <c r="G27" s="355">
        <f>+'23-07A '!M46+'23-07A '!M47+'23-07A '!M48+'23-07A '!M49+'23-07B'!M44+'23-07B'!M45+'23-07B'!M46+'23-07B'!M47</f>
        <v>0</v>
      </c>
      <c r="H27" s="337">
        <f t="shared" si="4"/>
        <v>15.978410999999999</v>
      </c>
      <c r="I27" s="337">
        <f t="shared" si="1"/>
        <v>15.833333333333334</v>
      </c>
      <c r="J27" s="337">
        <f t="shared" si="2"/>
        <v>37.062838093236991</v>
      </c>
      <c r="K27" s="337"/>
    </row>
    <row r="28" spans="1:11" x14ac:dyDescent="0.35">
      <c r="A28" s="342"/>
      <c r="B28" s="336">
        <v>46227</v>
      </c>
      <c r="C28" s="337">
        <f>+Venta!E49+Venta!E50</f>
        <v>0</v>
      </c>
      <c r="D28" s="355">
        <f>+'24-07A'!M54+'24-07A'!M55+'24-07B'!M52+'24-07B'!M53</f>
        <v>0</v>
      </c>
      <c r="E28" s="337">
        <f t="shared" si="3"/>
        <v>0</v>
      </c>
      <c r="F28" s="337"/>
      <c r="G28" s="355">
        <f>+'24-07A'!M46+'24-07A'!M47+'24-07A'!M48+'24-07A'!M49+'24-07B'!M44+'24-07B'!M45+'24-07B'!M46+'24-07B'!M47</f>
        <v>0</v>
      </c>
      <c r="H28" s="337">
        <f t="shared" si="4"/>
        <v>15.978410999999999</v>
      </c>
      <c r="I28" s="337">
        <f t="shared" si="1"/>
        <v>15.833333333333334</v>
      </c>
      <c r="J28" s="337">
        <f t="shared" si="2"/>
        <v>31.811744333333333</v>
      </c>
      <c r="K28" s="337"/>
    </row>
    <row r="29" spans="1:11" x14ac:dyDescent="0.35">
      <c r="A29" s="342"/>
      <c r="B29" s="336">
        <v>46228</v>
      </c>
      <c r="C29" s="337">
        <f>+Venta!$E$51+Venta!$E$52</f>
        <v>0</v>
      </c>
      <c r="D29" s="355">
        <f>+'25-07A'!M54+'25-07A'!M55+'25-07B'!M52+'25-07B'!M53</f>
        <v>0</v>
      </c>
      <c r="E29" s="337">
        <f t="shared" si="3"/>
        <v>0</v>
      </c>
      <c r="F29" s="337"/>
      <c r="G29" s="355">
        <f>+'25-07A'!M46+'25-07A'!M47+'25-07A'!M48+'25-07A'!M49+'25-07B'!M44+'25-07B'!M45+'25-07B'!M46+'25-07B'!M47</f>
        <v>0</v>
      </c>
      <c r="H29" s="337">
        <f t="shared" si="4"/>
        <v>15.978410999999999</v>
      </c>
      <c r="I29" s="337">
        <f t="shared" si="1"/>
        <v>15.833333333333334</v>
      </c>
      <c r="J29" s="337">
        <f t="shared" si="2"/>
        <v>31.811744333333333</v>
      </c>
      <c r="K29" s="337"/>
    </row>
    <row r="30" spans="1:11" x14ac:dyDescent="0.35">
      <c r="B30" s="336">
        <v>46229</v>
      </c>
      <c r="C30" s="337">
        <f>+Venta!$E$53+Venta!$E$54</f>
        <v>0</v>
      </c>
      <c r="D30" s="355">
        <f>+'26-07A'!M54+'26-07A'!M55+'26-07B'!M52+'26-07B'!M53</f>
        <v>0</v>
      </c>
      <c r="E30" s="337">
        <f t="shared" si="3"/>
        <v>0</v>
      </c>
      <c r="F30" s="337"/>
      <c r="G30" s="355">
        <f>+'26-07A'!M46+'26-07A'!M47+'26-07A'!M48+'26-07A'!M49+'26-07B'!M44+'26-07B'!M45+'26-07B'!M46+'26-07B'!M47</f>
        <v>0</v>
      </c>
      <c r="H30" s="337">
        <f t="shared" si="4"/>
        <v>15.978410999999999</v>
      </c>
      <c r="I30" s="337">
        <f t="shared" si="1"/>
        <v>15.833333333333334</v>
      </c>
      <c r="J30" s="337">
        <f t="shared" si="2"/>
        <v>31.811744333333333</v>
      </c>
      <c r="K30" s="337"/>
    </row>
    <row r="31" spans="1:11" x14ac:dyDescent="0.35">
      <c r="B31" s="336">
        <v>46230</v>
      </c>
      <c r="C31" s="337">
        <f>+Venta!E55+Venta!E56</f>
        <v>0</v>
      </c>
      <c r="D31" s="355">
        <f>+'27-07A'!M54+'27-07A'!M55+'27-07B '!M52+'27-07B '!M53</f>
        <v>0</v>
      </c>
      <c r="E31" s="337">
        <f t="shared" si="3"/>
        <v>0</v>
      </c>
      <c r="F31" s="337"/>
      <c r="G31" s="355">
        <f>+'27-07A'!M46+'27-07A'!M47+'27-07A'!M48+'27-07A'!M49+'27-07B '!M44+'27-07B '!M45+'27-07B '!M46+'27-07B '!M47</f>
        <v>0</v>
      </c>
      <c r="H31" s="337">
        <f t="shared" si="4"/>
        <v>15.978410999999999</v>
      </c>
      <c r="I31" s="337">
        <f t="shared" si="1"/>
        <v>15.833333333333334</v>
      </c>
      <c r="J31" s="337">
        <f t="shared" si="2"/>
        <v>31.811744333333333</v>
      </c>
      <c r="K31" s="337"/>
    </row>
    <row r="32" spans="1:11" x14ac:dyDescent="0.35">
      <c r="B32" s="336">
        <v>46231</v>
      </c>
      <c r="C32" s="337">
        <f>+Venta!E57+Venta!E58</f>
        <v>11.545617533241121</v>
      </c>
      <c r="D32" s="355">
        <f>+'28-07A'!M54+'28-07A'!M55+'28-07B'!M53+'28-07B'!M54</f>
        <v>0</v>
      </c>
      <c r="E32" s="337">
        <f t="shared" si="3"/>
        <v>0</v>
      </c>
      <c r="F32" s="337"/>
      <c r="G32" s="355">
        <f>+'28-07A'!M46+'28-07A'!M47+'28-07A'!M48+'28-07A'!M49+'28-07B'!M45+'28-07B'!M46+'28-07B'!M47+'28-07B'!M48</f>
        <v>0</v>
      </c>
      <c r="H32" s="337">
        <f t="shared" si="4"/>
        <v>15.978410999999999</v>
      </c>
      <c r="I32" s="337">
        <f t="shared" si="1"/>
        <v>15.833333333333334</v>
      </c>
      <c r="J32" s="337">
        <f t="shared" si="2"/>
        <v>43.357361866574458</v>
      </c>
      <c r="K32" s="337"/>
    </row>
    <row r="33" spans="1:14" x14ac:dyDescent="0.35">
      <c r="B33" s="336">
        <v>46232</v>
      </c>
      <c r="C33" s="337">
        <f>+Venta!E59+Venta!E60</f>
        <v>0.74320864860467062</v>
      </c>
      <c r="D33" s="337">
        <f>+'29-07A'!M55+'29-07A'!M56+'29-07B'!M53+'29-07B'!M54</f>
        <v>0</v>
      </c>
      <c r="E33" s="337">
        <f t="shared" si="3"/>
        <v>0</v>
      </c>
      <c r="F33" s="337"/>
      <c r="G33" s="355">
        <f>+'29-07A'!M47+'29-07A'!M48+'29-07A'!M49+'29-07A'!M50+'29-07B'!M45+'29-07B'!M46+'29-07B'!M47+'29-07B'!M48</f>
        <v>0</v>
      </c>
      <c r="H33" s="337">
        <f t="shared" si="4"/>
        <v>15.978410999999999</v>
      </c>
      <c r="I33" s="337">
        <f t="shared" si="1"/>
        <v>15.833333333333334</v>
      </c>
      <c r="J33" s="337">
        <f t="shared" si="2"/>
        <v>32.554952981938001</v>
      </c>
      <c r="K33" s="337"/>
    </row>
    <row r="34" spans="1:14" x14ac:dyDescent="0.35">
      <c r="B34" s="336">
        <v>46233</v>
      </c>
      <c r="C34" s="337">
        <f>+Venta!$E$61+Venta!$E$62*0</f>
        <v>0</v>
      </c>
      <c r="D34" s="337">
        <f>+'30-07A'!M56+'30-07A'!M57+'30-07B '!M53+'30-07B '!M54</f>
        <v>0</v>
      </c>
      <c r="E34" s="337">
        <f>+Venta!$E$61+Venta!$E$62</f>
        <v>10.1765095</v>
      </c>
      <c r="F34" s="337"/>
      <c r="G34" s="337">
        <f>+'30-07A'!M48+'30-07A'!M49+'30-07A'!M50+'30-07A'!M51</f>
        <v>0</v>
      </c>
      <c r="H34" s="337">
        <f t="shared" si="4"/>
        <v>15.978410999999999</v>
      </c>
      <c r="I34" s="337">
        <f t="shared" si="1"/>
        <v>15.833333333333334</v>
      </c>
      <c r="J34" s="337">
        <f>+C34+E34+F34+H34+I34</f>
        <v>41.988253833333331</v>
      </c>
      <c r="K34" s="337"/>
    </row>
    <row r="35" spans="1:14" x14ac:dyDescent="0.35">
      <c r="B35" s="336">
        <v>46234</v>
      </c>
      <c r="C35" s="337"/>
      <c r="D35" s="337"/>
      <c r="E35" s="337">
        <f t="shared" si="3"/>
        <v>0</v>
      </c>
      <c r="F35" s="337"/>
      <c r="G35" s="337"/>
      <c r="H35" s="337"/>
      <c r="I35" s="337"/>
      <c r="J35" s="337">
        <f t="shared" si="2"/>
        <v>0</v>
      </c>
      <c r="K35" s="337"/>
    </row>
    <row r="36" spans="1:14" x14ac:dyDescent="0.35">
      <c r="A36" s="342"/>
      <c r="B36" s="339" t="s">
        <v>481</v>
      </c>
      <c r="C36" s="354">
        <f t="shared" ref="C36:J36" si="5">SUM(C5:C35)</f>
        <v>339.03629372799946</v>
      </c>
      <c r="D36" s="354">
        <f t="shared" si="5"/>
        <v>3138.1631040948264</v>
      </c>
      <c r="E36" s="354">
        <f t="shared" si="5"/>
        <v>10.1765095</v>
      </c>
      <c r="F36" s="354">
        <f t="shared" si="5"/>
        <v>187.69173741455069</v>
      </c>
      <c r="G36" s="354">
        <f t="shared" si="5"/>
        <v>1668.029305150106</v>
      </c>
      <c r="H36" s="354">
        <f t="shared" si="5"/>
        <v>255.65457599999993</v>
      </c>
      <c r="I36" s="354">
        <f t="shared" si="5"/>
        <v>474.99999999999983</v>
      </c>
      <c r="J36" s="353">
        <f t="shared" si="5"/>
        <v>1267.5591166425502</v>
      </c>
      <c r="K36" s="340"/>
      <c r="L36" s="329">
        <f>480/30</f>
        <v>16</v>
      </c>
      <c r="M36" s="342"/>
      <c r="N36" s="342"/>
    </row>
    <row r="40" spans="1:14" x14ac:dyDescent="0.35">
      <c r="B40" s="341" t="s">
        <v>482</v>
      </c>
      <c r="C40" s="342">
        <f>SUM(C5:C18)</f>
        <v>233.46987190610503</v>
      </c>
      <c r="D40" s="342"/>
      <c r="E40" s="342"/>
      <c r="F40" s="342">
        <f>SUM(F5:F18)</f>
        <v>187.69173741455069</v>
      </c>
      <c r="G40" s="342"/>
      <c r="H40" s="342">
        <f>SUM(H5:H18)</f>
        <v>0</v>
      </c>
      <c r="I40" s="342"/>
      <c r="J40" s="342">
        <f>SUM(J5:J18)</f>
        <v>642.8282759873224</v>
      </c>
      <c r="K40" s="342"/>
    </row>
    <row r="41" spans="1:14" x14ac:dyDescent="0.35">
      <c r="B41" s="343" t="s">
        <v>483</v>
      </c>
      <c r="C41" s="342">
        <f>SUM(C19:C25)</f>
        <v>88.026501880145076</v>
      </c>
      <c r="D41" s="342"/>
      <c r="E41" s="342"/>
      <c r="F41" s="342">
        <f>SUM(F19:F25)</f>
        <v>0</v>
      </c>
      <c r="G41" s="342"/>
      <c r="H41" s="342">
        <f>SUM(H19:H25)</f>
        <v>111.84887699999999</v>
      </c>
      <c r="I41" s="342"/>
      <c r="J41" s="342">
        <f>SUM(J19:J25)</f>
        <v>310.70871221347841</v>
      </c>
      <c r="K41" s="342"/>
    </row>
  </sheetData>
  <mergeCells count="7">
    <mergeCell ref="B2:J2"/>
    <mergeCell ref="K2:K4"/>
    <mergeCell ref="B3:B4"/>
    <mergeCell ref="C3:E3"/>
    <mergeCell ref="F3:H3"/>
    <mergeCell ref="I3:I4"/>
    <mergeCell ref="J3:J4"/>
  </mergeCells>
  <hyperlinks>
    <hyperlink ref="B40" r:id="rId1" xr:uid="{51ADEE22-8EEF-4305-B855-F42F90086B55}"/>
    <hyperlink ref="B41" r:id="rId2" xr:uid="{494D6B03-2443-49B7-B075-E05D802D4811}"/>
  </hyperlinks>
  <pageMargins left="0.7" right="0.7" top="0.75" bottom="0.75" header="0.3" footer="0.3"/>
  <pageSetup scale="58" orientation="portrait" r:id="rId3"/>
  <ignoredErrors>
    <ignoredError sqref="E34" formula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56482-F18F-4B81-AB23-4DEBD74B8530}">
  <sheetPr codeName="Hoja5"/>
  <dimension ref="A1:W61"/>
  <sheetViews>
    <sheetView topLeftCell="D1" workbookViewId="0">
      <selection activeCell="W19" sqref="W19"/>
    </sheetView>
  </sheetViews>
  <sheetFormatPr baseColWidth="10" defaultRowHeight="14.5" x14ac:dyDescent="0.35"/>
  <cols>
    <col min="3" max="3" width="2.6328125" customWidth="1"/>
    <col min="5" max="5" width="2.6328125" customWidth="1"/>
    <col min="6" max="6" width="20.6328125" bestFit="1" customWidth="1"/>
    <col min="7" max="7" width="2.6328125" customWidth="1"/>
    <col min="8" max="8" width="26" bestFit="1" customWidth="1"/>
    <col min="9" max="9" width="2.6328125" customWidth="1"/>
    <col min="10" max="10" width="26" bestFit="1" customWidth="1"/>
    <col min="11" max="11" width="2.6328125" customWidth="1"/>
    <col min="12" max="12" width="26" bestFit="1" customWidth="1"/>
    <col min="13" max="13" width="2.6328125" customWidth="1"/>
    <col min="14" max="14" width="26" bestFit="1" customWidth="1"/>
    <col min="15" max="15" width="2.6328125" customWidth="1"/>
    <col min="16" max="16" width="26" bestFit="1" customWidth="1"/>
    <col min="17" max="17" width="2.6328125" customWidth="1"/>
    <col min="18" max="18" width="29.81640625" customWidth="1"/>
    <col min="19" max="19" width="13.36328125" customWidth="1"/>
    <col min="21" max="22" width="9.08984375" style="287" customWidth="1"/>
    <col min="23" max="23" width="15" customWidth="1"/>
  </cols>
  <sheetData>
    <row r="1" spans="1:23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 s="289" t="s">
        <v>327</v>
      </c>
    </row>
    <row r="2" spans="1:23" ht="29" x14ac:dyDescent="0.35">
      <c r="B2" s="35" t="s">
        <v>25</v>
      </c>
      <c r="D2" s="35" t="s">
        <v>27</v>
      </c>
      <c r="F2" s="35" t="s">
        <v>136</v>
      </c>
      <c r="H2" s="35" t="s">
        <v>50</v>
      </c>
      <c r="J2" s="35" t="s">
        <v>81</v>
      </c>
      <c r="L2" s="35" t="s">
        <v>82</v>
      </c>
      <c r="N2" s="35" t="s">
        <v>83</v>
      </c>
      <c r="P2" s="35" t="s">
        <v>84</v>
      </c>
      <c r="R2" s="73" t="s">
        <v>154</v>
      </c>
      <c r="S2" s="35" t="s">
        <v>157</v>
      </c>
      <c r="T2" s="44" t="s">
        <v>103</v>
      </c>
      <c r="U2" s="287">
        <f>+'09-07B'!$J$48</f>
        <v>11.8</v>
      </c>
      <c r="W2" s="35" t="s">
        <v>124</v>
      </c>
    </row>
    <row r="3" spans="1:23" x14ac:dyDescent="0.35">
      <c r="B3" t="s">
        <v>6</v>
      </c>
      <c r="D3" t="s">
        <v>163</v>
      </c>
      <c r="F3" t="s">
        <v>209</v>
      </c>
      <c r="H3" t="s">
        <v>53</v>
      </c>
      <c r="J3" t="s">
        <v>202</v>
      </c>
      <c r="L3" t="s">
        <v>204</v>
      </c>
      <c r="N3" t="s">
        <v>208</v>
      </c>
      <c r="P3" t="s">
        <v>209</v>
      </c>
      <c r="R3" t="s">
        <v>104</v>
      </c>
      <c r="S3" s="42">
        <v>0.27361111111111114</v>
      </c>
      <c r="T3" s="125">
        <f t="shared" ref="T3:T19" si="0">+S3*24/($S$20*24)</f>
        <v>0.22475755847119222</v>
      </c>
      <c r="U3" s="287">
        <f>+T3*$U$2</f>
        <v>2.6521391899600681</v>
      </c>
      <c r="W3" t="s">
        <v>125</v>
      </c>
    </row>
    <row r="4" spans="1:23" x14ac:dyDescent="0.35">
      <c r="B4" t="s">
        <v>7</v>
      </c>
      <c r="D4" t="s">
        <v>164</v>
      </c>
      <c r="F4" t="s">
        <v>206</v>
      </c>
      <c r="H4" t="s">
        <v>56</v>
      </c>
      <c r="J4" t="s">
        <v>203</v>
      </c>
      <c r="L4" t="s">
        <v>205</v>
      </c>
      <c r="N4" t="s">
        <v>207</v>
      </c>
      <c r="P4" t="s">
        <v>213</v>
      </c>
      <c r="R4" t="s">
        <v>56</v>
      </c>
      <c r="S4" s="42">
        <v>5.2083333333333336E-2</v>
      </c>
      <c r="T4" s="125">
        <f t="shared" si="0"/>
        <v>4.2783799201369072E-2</v>
      </c>
      <c r="U4" s="287">
        <f t="shared" ref="U4:U19" si="1">+T4*$U$2</f>
        <v>0.50484883057615504</v>
      </c>
      <c r="W4" t="s">
        <v>126</v>
      </c>
    </row>
    <row r="5" spans="1:23" x14ac:dyDescent="0.35">
      <c r="B5" t="s">
        <v>26</v>
      </c>
      <c r="D5" t="s">
        <v>165</v>
      </c>
      <c r="F5" t="s">
        <v>216</v>
      </c>
      <c r="H5" t="s">
        <v>55</v>
      </c>
      <c r="J5" t="s">
        <v>216</v>
      </c>
      <c r="P5" t="s">
        <v>214</v>
      </c>
      <c r="R5" t="s">
        <v>59</v>
      </c>
      <c r="S5" s="42">
        <v>6.9444444444444441E-3</v>
      </c>
      <c r="T5" s="125">
        <f t="shared" si="0"/>
        <v>5.7045065601825425E-3</v>
      </c>
      <c r="U5" s="287">
        <f t="shared" si="1"/>
        <v>6.731317741015401E-2</v>
      </c>
      <c r="W5" t="s">
        <v>127</v>
      </c>
    </row>
    <row r="6" spans="1:23" x14ac:dyDescent="0.35">
      <c r="B6" t="s">
        <v>11</v>
      </c>
      <c r="D6" t="s">
        <v>166</v>
      </c>
      <c r="F6" t="s">
        <v>217</v>
      </c>
      <c r="H6" t="s">
        <v>227</v>
      </c>
      <c r="J6" t="s">
        <v>217</v>
      </c>
      <c r="P6" t="s">
        <v>215</v>
      </c>
      <c r="R6" t="s">
        <v>51</v>
      </c>
      <c r="S6" s="42">
        <v>4.1666666666666664E-2</v>
      </c>
      <c r="T6" s="125">
        <f t="shared" si="0"/>
        <v>3.4227039361095259E-2</v>
      </c>
      <c r="U6" s="287">
        <f t="shared" si="1"/>
        <v>0.40387906446092409</v>
      </c>
      <c r="W6" t="s">
        <v>128</v>
      </c>
    </row>
    <row r="7" spans="1:23" x14ac:dyDescent="0.35">
      <c r="D7" t="s">
        <v>167</v>
      </c>
      <c r="F7" t="s">
        <v>202</v>
      </c>
      <c r="H7" t="s">
        <v>171</v>
      </c>
      <c r="P7" t="s">
        <v>206</v>
      </c>
      <c r="R7" t="s">
        <v>173</v>
      </c>
      <c r="S7" s="42">
        <v>4.1666666666666664E-2</v>
      </c>
      <c r="T7" s="125">
        <f t="shared" si="0"/>
        <v>3.4227039361095259E-2</v>
      </c>
      <c r="U7" s="287">
        <f t="shared" si="1"/>
        <v>0.40387906446092409</v>
      </c>
      <c r="W7" t="s">
        <v>138</v>
      </c>
    </row>
    <row r="8" spans="1:23" x14ac:dyDescent="0.35">
      <c r="D8" t="s">
        <v>168</v>
      </c>
      <c r="F8" t="s">
        <v>203</v>
      </c>
      <c r="H8" t="s">
        <v>288</v>
      </c>
      <c r="R8" t="s">
        <v>114</v>
      </c>
      <c r="S8" s="42">
        <v>4.3055555555555555E-2</v>
      </c>
      <c r="T8" s="125">
        <f t="shared" si="0"/>
        <v>3.5367940673131766E-2</v>
      </c>
      <c r="U8" s="287">
        <f t="shared" si="1"/>
        <v>0.41734169994295489</v>
      </c>
      <c r="W8" t="s">
        <v>129</v>
      </c>
    </row>
    <row r="9" spans="1:23" x14ac:dyDescent="0.35">
      <c r="D9" t="s">
        <v>169</v>
      </c>
      <c r="F9" t="s">
        <v>207</v>
      </c>
      <c r="H9" t="s">
        <v>230</v>
      </c>
      <c r="R9" t="s">
        <v>61</v>
      </c>
      <c r="S9" s="42">
        <v>0</v>
      </c>
      <c r="T9" s="125">
        <f t="shared" si="0"/>
        <v>0</v>
      </c>
      <c r="U9" s="287">
        <f t="shared" si="1"/>
        <v>0</v>
      </c>
      <c r="W9" t="s">
        <v>135</v>
      </c>
    </row>
    <row r="10" spans="1:23" x14ac:dyDescent="0.35">
      <c r="D10" t="s">
        <v>170</v>
      </c>
      <c r="F10" t="s">
        <v>210</v>
      </c>
      <c r="H10" t="s">
        <v>105</v>
      </c>
      <c r="R10" t="s">
        <v>60</v>
      </c>
      <c r="S10" s="42">
        <v>1.3888888888888888E-2</v>
      </c>
      <c r="T10" s="125">
        <f t="shared" si="0"/>
        <v>1.1409013120365085E-2</v>
      </c>
      <c r="U10" s="287">
        <f t="shared" si="1"/>
        <v>0.13462635482030802</v>
      </c>
      <c r="W10" t="s">
        <v>223</v>
      </c>
    </row>
    <row r="11" spans="1:23" x14ac:dyDescent="0.35">
      <c r="D11" t="s">
        <v>32</v>
      </c>
      <c r="F11" t="s">
        <v>211</v>
      </c>
      <c r="H11" t="s">
        <v>104</v>
      </c>
      <c r="R11" t="s">
        <v>57</v>
      </c>
      <c r="S11" s="42">
        <v>0.10486111111111111</v>
      </c>
      <c r="T11" s="125">
        <f t="shared" si="0"/>
        <v>8.6138049058756397E-2</v>
      </c>
      <c r="U11" s="287">
        <f t="shared" si="1"/>
        <v>1.0164289788933256</v>
      </c>
    </row>
    <row r="12" spans="1:23" x14ac:dyDescent="0.35">
      <c r="D12" t="s">
        <v>33</v>
      </c>
      <c r="F12" t="s">
        <v>212</v>
      </c>
      <c r="H12" t="s">
        <v>228</v>
      </c>
      <c r="R12" t="s">
        <v>59</v>
      </c>
      <c r="S12" s="42">
        <v>6.9444444444444441E-3</v>
      </c>
      <c r="T12" s="125">
        <f t="shared" si="0"/>
        <v>5.7045065601825425E-3</v>
      </c>
      <c r="U12" s="287">
        <f t="shared" si="1"/>
        <v>6.731317741015401E-2</v>
      </c>
    </row>
    <row r="13" spans="1:23" x14ac:dyDescent="0.35">
      <c r="D13" t="s">
        <v>34</v>
      </c>
      <c r="F13" t="s">
        <v>213</v>
      </c>
      <c r="H13" t="s">
        <v>144</v>
      </c>
      <c r="R13" t="s">
        <v>54</v>
      </c>
      <c r="S13" s="42">
        <v>0.21666666666666667</v>
      </c>
      <c r="T13" s="125">
        <f t="shared" si="0"/>
        <v>0.17798060467769536</v>
      </c>
      <c r="U13" s="287">
        <f t="shared" si="1"/>
        <v>2.1001711351968053</v>
      </c>
    </row>
    <row r="14" spans="1:23" x14ac:dyDescent="0.35">
      <c r="D14" t="s">
        <v>35</v>
      </c>
      <c r="F14" t="s">
        <v>208</v>
      </c>
      <c r="H14" t="s">
        <v>110</v>
      </c>
      <c r="R14" t="s">
        <v>52</v>
      </c>
      <c r="S14" s="42">
        <v>8.3333333333333329E-2</v>
      </c>
      <c r="T14" s="125">
        <f t="shared" si="0"/>
        <v>6.8454078722190517E-2</v>
      </c>
      <c r="U14" s="287">
        <f t="shared" si="1"/>
        <v>0.80775812892184817</v>
      </c>
      <c r="V14" s="43">
        <f>+T14</f>
        <v>6.8454078722190517E-2</v>
      </c>
      <c r="W14" s="98"/>
    </row>
    <row r="15" spans="1:23" x14ac:dyDescent="0.35">
      <c r="D15" t="s">
        <v>36</v>
      </c>
      <c r="F15" t="s">
        <v>204</v>
      </c>
      <c r="H15" t="s">
        <v>52</v>
      </c>
      <c r="R15" t="s">
        <v>53</v>
      </c>
      <c r="S15" s="42">
        <v>5.9722222222222225E-2</v>
      </c>
      <c r="T15" s="125">
        <f t="shared" si="0"/>
        <v>4.905875641756987E-2</v>
      </c>
      <c r="U15" s="287">
        <f t="shared" si="1"/>
        <v>0.57889332572732455</v>
      </c>
      <c r="V15" s="43">
        <f>+T15</f>
        <v>4.905875641756987E-2</v>
      </c>
      <c r="W15" s="245"/>
    </row>
    <row r="16" spans="1:23" x14ac:dyDescent="0.35">
      <c r="D16" t="s">
        <v>37</v>
      </c>
      <c r="F16" t="s">
        <v>205</v>
      </c>
      <c r="H16" t="s">
        <v>114</v>
      </c>
      <c r="R16" t="s">
        <v>62</v>
      </c>
      <c r="S16" s="42">
        <v>0</v>
      </c>
      <c r="T16" s="125">
        <f t="shared" si="0"/>
        <v>0</v>
      </c>
      <c r="U16" s="287">
        <f t="shared" si="1"/>
        <v>0</v>
      </c>
      <c r="V16" s="43">
        <f>+T16</f>
        <v>0</v>
      </c>
      <c r="W16" s="245"/>
    </row>
    <row r="17" spans="4:23" x14ac:dyDescent="0.35">
      <c r="D17" t="s">
        <v>38</v>
      </c>
      <c r="F17" t="s">
        <v>214</v>
      </c>
      <c r="H17" t="s">
        <v>398</v>
      </c>
      <c r="R17" t="s">
        <v>101</v>
      </c>
      <c r="S17" s="42">
        <v>6.9444444444444441E-3</v>
      </c>
      <c r="T17" s="125">
        <f t="shared" si="0"/>
        <v>5.7045065601825425E-3</v>
      </c>
      <c r="U17" s="287">
        <f t="shared" si="1"/>
        <v>6.731317741015401E-2</v>
      </c>
      <c r="V17" s="43">
        <f>+T17</f>
        <v>5.7045065601825425E-3</v>
      </c>
      <c r="W17" s="245"/>
    </row>
    <row r="18" spans="4:23" x14ac:dyDescent="0.35">
      <c r="D18" t="s">
        <v>39</v>
      </c>
      <c r="F18" t="s">
        <v>215</v>
      </c>
      <c r="H18" t="s">
        <v>532</v>
      </c>
      <c r="R18" t="s">
        <v>63</v>
      </c>
      <c r="S18" s="42">
        <v>0.16458333333333333</v>
      </c>
      <c r="T18" s="125">
        <f t="shared" si="0"/>
        <v>0.13519680547632629</v>
      </c>
      <c r="U18" s="287">
        <f t="shared" si="1"/>
        <v>1.5953223046206504</v>
      </c>
      <c r="V18" s="43">
        <f>+T18*0.6</f>
        <v>8.111808328579577E-2</v>
      </c>
      <c r="W18" s="98">
        <f>SUM(T4:T18)</f>
        <v>0.69195664575014248</v>
      </c>
    </row>
    <row r="19" spans="4:23" x14ac:dyDescent="0.35">
      <c r="D19" t="s">
        <v>40</v>
      </c>
      <c r="H19" t="s">
        <v>54</v>
      </c>
      <c r="R19" t="s">
        <v>227</v>
      </c>
      <c r="S19" s="42">
        <v>0.10138888888888889</v>
      </c>
      <c r="T19" s="125">
        <f t="shared" si="0"/>
        <v>8.3285795778665142E-2</v>
      </c>
      <c r="U19" s="287">
        <f t="shared" si="1"/>
        <v>0.98277239018824869</v>
      </c>
      <c r="V19" s="287">
        <f>SUM(V14:V18)</f>
        <v>0.2043354249857387</v>
      </c>
      <c r="W19">
        <f>+W18*'27-07A'!J54</f>
        <v>8.1650884198516813</v>
      </c>
    </row>
    <row r="20" spans="4:23" x14ac:dyDescent="0.35">
      <c r="D20" t="s">
        <v>41</v>
      </c>
      <c r="H20" t="s">
        <v>59</v>
      </c>
      <c r="R20" t="s">
        <v>102</v>
      </c>
      <c r="S20" s="74">
        <f>+SUM(S3:S19)</f>
        <v>1.2173611111111113</v>
      </c>
      <c r="T20" s="125"/>
      <c r="U20" s="288">
        <f>SUM(U3:U19)</f>
        <v>11.799999999999999</v>
      </c>
      <c r="V20" s="288">
        <f>+'10-07A'!U27</f>
        <v>0.2043354249857387</v>
      </c>
    </row>
    <row r="21" spans="4:23" x14ac:dyDescent="0.35">
      <c r="D21" t="s">
        <v>42</v>
      </c>
      <c r="H21" t="s">
        <v>101</v>
      </c>
      <c r="S21" s="42">
        <f>'01-07 A'!G36</f>
        <v>0.27083333333333331</v>
      </c>
      <c r="V21" s="291">
        <v>4.3354249857387339E-2</v>
      </c>
    </row>
    <row r="22" spans="4:23" x14ac:dyDescent="0.35">
      <c r="D22" t="s">
        <v>43</v>
      </c>
      <c r="H22" t="s">
        <v>60</v>
      </c>
      <c r="S22">
        <f>S20/S21</f>
        <v>4.4948717948717958</v>
      </c>
      <c r="T22">
        <f>100/S22</f>
        <v>22.247575584711917</v>
      </c>
      <c r="U22" s="290" t="s">
        <v>327</v>
      </c>
    </row>
    <row r="23" spans="4:23" ht="29" x14ac:dyDescent="0.35">
      <c r="D23" t="s">
        <v>44</v>
      </c>
      <c r="H23" t="s">
        <v>63</v>
      </c>
      <c r="R23" s="73" t="s">
        <v>155</v>
      </c>
      <c r="S23" s="35" t="s">
        <v>157</v>
      </c>
      <c r="T23" s="44" t="s">
        <v>103</v>
      </c>
      <c r="U23" s="287">
        <f>+'09-07B'!$J$44</f>
        <v>6.6</v>
      </c>
    </row>
    <row r="24" spans="4:23" x14ac:dyDescent="0.35">
      <c r="D24" t="s">
        <v>45</v>
      </c>
      <c r="H24" t="s">
        <v>57</v>
      </c>
      <c r="R24" t="s">
        <v>104</v>
      </c>
      <c r="S24" s="42">
        <v>0.12361111111111112</v>
      </c>
      <c r="T24" s="125">
        <f>+S24*24/($S$41*24)</f>
        <v>0.17399804496578691</v>
      </c>
      <c r="U24" s="287">
        <f>+T24*$U$23</f>
        <v>1.1483870967741936</v>
      </c>
    </row>
    <row r="25" spans="4:23" x14ac:dyDescent="0.35">
      <c r="D25" t="s">
        <v>111</v>
      </c>
      <c r="H25" t="s">
        <v>106</v>
      </c>
      <c r="R25" t="s">
        <v>56</v>
      </c>
      <c r="S25" s="42">
        <v>3.9583333333333331E-2</v>
      </c>
      <c r="T25" s="125">
        <f t="shared" ref="T25:T40" si="2">+S25*24/($S$41*24)</f>
        <v>5.5718475073313775E-2</v>
      </c>
      <c r="U25" s="287">
        <f t="shared" ref="U25:U40" si="3">+T25*$U$23</f>
        <v>0.36774193548387091</v>
      </c>
    </row>
    <row r="26" spans="4:23" x14ac:dyDescent="0.35">
      <c r="D26" t="s">
        <v>112</v>
      </c>
      <c r="H26" t="s">
        <v>226</v>
      </c>
      <c r="R26" t="s">
        <v>59</v>
      </c>
      <c r="S26" s="42">
        <v>6.9444444444444441E-3</v>
      </c>
      <c r="T26" s="125">
        <f t="shared" si="2"/>
        <v>9.7751710654936444E-3</v>
      </c>
      <c r="U26" s="287">
        <f t="shared" si="3"/>
        <v>6.4516129032258049E-2</v>
      </c>
    </row>
    <row r="27" spans="4:23" x14ac:dyDescent="0.35">
      <c r="D27" t="s">
        <v>113</v>
      </c>
      <c r="H27" t="s">
        <v>61</v>
      </c>
      <c r="R27" t="s">
        <v>51</v>
      </c>
      <c r="S27" s="42">
        <v>4.1666666666666664E-2</v>
      </c>
      <c r="T27" s="125">
        <f t="shared" si="2"/>
        <v>5.8651026392961873E-2</v>
      </c>
      <c r="U27" s="287">
        <f t="shared" si="3"/>
        <v>0.38709677419354832</v>
      </c>
    </row>
    <row r="28" spans="4:23" x14ac:dyDescent="0.35">
      <c r="H28" t="s">
        <v>51</v>
      </c>
      <c r="R28" t="s">
        <v>173</v>
      </c>
      <c r="S28" s="42">
        <v>2.9166666666666667E-2</v>
      </c>
      <c r="T28" s="125">
        <f t="shared" si="2"/>
        <v>4.1055718475073312E-2</v>
      </c>
      <c r="U28" s="287">
        <f t="shared" si="3"/>
        <v>0.27096774193548384</v>
      </c>
    </row>
    <row r="29" spans="4:23" x14ac:dyDescent="0.35">
      <c r="H29" t="s">
        <v>62</v>
      </c>
      <c r="R29" t="s">
        <v>114</v>
      </c>
      <c r="S29" s="42">
        <v>4.1666666666666664E-2</v>
      </c>
      <c r="T29" s="125">
        <f t="shared" si="2"/>
        <v>5.8651026392961873E-2</v>
      </c>
      <c r="U29" s="287">
        <f t="shared" si="3"/>
        <v>0.38709677419354832</v>
      </c>
    </row>
    <row r="30" spans="4:23" x14ac:dyDescent="0.35">
      <c r="H30" t="s">
        <v>347</v>
      </c>
      <c r="R30" t="s">
        <v>61</v>
      </c>
      <c r="S30" s="42">
        <v>0</v>
      </c>
      <c r="T30" s="125">
        <f t="shared" si="2"/>
        <v>0</v>
      </c>
      <c r="U30" s="287">
        <f t="shared" si="3"/>
        <v>0</v>
      </c>
    </row>
    <row r="31" spans="4:23" x14ac:dyDescent="0.35">
      <c r="H31" t="s">
        <v>173</v>
      </c>
      <c r="R31" t="s">
        <v>60</v>
      </c>
      <c r="S31" s="42">
        <v>1.3888888888888888E-2</v>
      </c>
      <c r="T31" s="125">
        <f t="shared" si="2"/>
        <v>1.9550342130987289E-2</v>
      </c>
      <c r="U31" s="287">
        <f t="shared" si="3"/>
        <v>0.1290322580645161</v>
      </c>
    </row>
    <row r="32" spans="4:23" x14ac:dyDescent="0.35">
      <c r="H32" t="s">
        <v>172</v>
      </c>
      <c r="R32" t="s">
        <v>57</v>
      </c>
      <c r="S32" s="42">
        <v>5.2777777777777778E-2</v>
      </c>
      <c r="T32" s="125">
        <f t="shared" si="2"/>
        <v>7.42913000977517E-2</v>
      </c>
      <c r="U32" s="287">
        <f t="shared" si="3"/>
        <v>0.49032258064516121</v>
      </c>
    </row>
    <row r="33" spans="8:22" x14ac:dyDescent="0.35">
      <c r="H33" t="s">
        <v>349</v>
      </c>
      <c r="R33" t="s">
        <v>59</v>
      </c>
      <c r="S33" s="42">
        <v>6.9444444444444441E-3</v>
      </c>
      <c r="T33" s="125">
        <f t="shared" si="2"/>
        <v>9.7751710654936444E-3</v>
      </c>
      <c r="U33" s="287">
        <f t="shared" si="3"/>
        <v>6.4516129032258049E-2</v>
      </c>
    </row>
    <row r="34" spans="8:22" x14ac:dyDescent="0.35">
      <c r="R34" t="s">
        <v>54</v>
      </c>
      <c r="S34" s="42">
        <v>0.10416666666666667</v>
      </c>
      <c r="T34" s="125">
        <f t="shared" si="2"/>
        <v>0.14662756598240467</v>
      </c>
      <c r="U34" s="287">
        <f t="shared" si="3"/>
        <v>0.96774193548387077</v>
      </c>
    </row>
    <row r="35" spans="8:22" x14ac:dyDescent="0.35">
      <c r="R35" t="s">
        <v>52</v>
      </c>
      <c r="S35" s="42">
        <v>5.2083333333333336E-2</v>
      </c>
      <c r="T35" s="125">
        <f t="shared" si="2"/>
        <v>7.3313782991202336E-2</v>
      </c>
      <c r="U35" s="287">
        <f t="shared" si="3"/>
        <v>0.48387096774193539</v>
      </c>
      <c r="V35" s="98">
        <f>+T35</f>
        <v>7.3313782991202336E-2</v>
      </c>
    </row>
    <row r="36" spans="8:22" x14ac:dyDescent="0.35">
      <c r="R36" t="s">
        <v>53</v>
      </c>
      <c r="S36" s="42">
        <v>0.05</v>
      </c>
      <c r="T36" s="125">
        <f t="shared" si="2"/>
        <v>7.0381231671554259E-2</v>
      </c>
      <c r="U36" s="287">
        <f t="shared" si="3"/>
        <v>0.46451612903225808</v>
      </c>
      <c r="V36" s="98">
        <f t="shared" ref="V36:V38" si="4">+T36</f>
        <v>7.0381231671554259E-2</v>
      </c>
    </row>
    <row r="37" spans="8:22" x14ac:dyDescent="0.35">
      <c r="R37" t="s">
        <v>62</v>
      </c>
      <c r="S37" s="42">
        <v>0</v>
      </c>
      <c r="T37" s="125">
        <f t="shared" si="2"/>
        <v>0</v>
      </c>
      <c r="U37" s="287">
        <f t="shared" si="3"/>
        <v>0</v>
      </c>
      <c r="V37" s="98">
        <f t="shared" si="4"/>
        <v>0</v>
      </c>
    </row>
    <row r="38" spans="8:22" x14ac:dyDescent="0.35">
      <c r="R38" t="s">
        <v>101</v>
      </c>
      <c r="S38" s="42">
        <v>6.9444444444444441E-3</v>
      </c>
      <c r="T38" s="125">
        <f t="shared" si="2"/>
        <v>9.7751710654936444E-3</v>
      </c>
      <c r="U38" s="287">
        <f t="shared" si="3"/>
        <v>6.4516129032258049E-2</v>
      </c>
      <c r="V38" s="98">
        <f t="shared" si="4"/>
        <v>9.7751710654936444E-3</v>
      </c>
    </row>
    <row r="39" spans="8:22" x14ac:dyDescent="0.35">
      <c r="R39" t="s">
        <v>63</v>
      </c>
      <c r="S39" s="42">
        <v>8.9583333333333334E-2</v>
      </c>
      <c r="T39" s="125">
        <f t="shared" si="2"/>
        <v>0.12609970674486803</v>
      </c>
      <c r="U39" s="287">
        <f t="shared" si="3"/>
        <v>0.83225806451612894</v>
      </c>
      <c r="V39" s="43">
        <f>+T39*'10-07B'!N31</f>
        <v>0.11096774193548387</v>
      </c>
    </row>
    <row r="40" spans="8:22" x14ac:dyDescent="0.35">
      <c r="R40" t="s">
        <v>227</v>
      </c>
      <c r="S40" s="42">
        <v>5.1388888888888887E-2</v>
      </c>
      <c r="T40" s="297">
        <f t="shared" si="2"/>
        <v>7.2336265884652987E-2</v>
      </c>
      <c r="U40" s="287">
        <f t="shared" si="3"/>
        <v>0.47741935483870968</v>
      </c>
      <c r="V40" s="98">
        <f>SUM(V35:V39)</f>
        <v>0.26443792766373408</v>
      </c>
    </row>
    <row r="41" spans="8:22" x14ac:dyDescent="0.35">
      <c r="R41" t="s">
        <v>102</v>
      </c>
      <c r="S41" s="74">
        <f>+SUM(S24:S40)</f>
        <v>0.7104166666666667</v>
      </c>
      <c r="T41" s="43"/>
      <c r="U41" s="288">
        <f>SUM(U24:U40)</f>
        <v>6.5999999999999988</v>
      </c>
      <c r="V41" s="291">
        <v>9.8220918866080142E-2</v>
      </c>
    </row>
    <row r="42" spans="8:22" x14ac:dyDescent="0.35">
      <c r="V42" s="291">
        <f>+V40-V41</f>
        <v>0.16621700879765394</v>
      </c>
    </row>
    <row r="43" spans="8:22" ht="29" x14ac:dyDescent="0.35">
      <c r="R43" s="73" t="s">
        <v>156</v>
      </c>
      <c r="S43" s="35" t="s">
        <v>157</v>
      </c>
      <c r="T43" s="44" t="s">
        <v>103</v>
      </c>
    </row>
    <row r="44" spans="8:22" x14ac:dyDescent="0.35">
      <c r="R44" t="s">
        <v>104</v>
      </c>
      <c r="S44" s="42">
        <v>0.26180555555555557</v>
      </c>
      <c r="T44" s="43">
        <f>+S44*24/($S$61*24)</f>
        <v>0.20053191489361699</v>
      </c>
    </row>
    <row r="45" spans="8:22" x14ac:dyDescent="0.35">
      <c r="R45" t="s">
        <v>56</v>
      </c>
      <c r="S45" s="42">
        <v>5.1388888888888887E-2</v>
      </c>
      <c r="T45" s="43">
        <f t="shared" ref="T45:T60" si="5">+S45*24/($S$61*24)</f>
        <v>3.9361702127659576E-2</v>
      </c>
    </row>
    <row r="46" spans="8:22" x14ac:dyDescent="0.35">
      <c r="R46" t="s">
        <v>59</v>
      </c>
      <c r="S46" s="42">
        <v>6.9444444444444441E-3</v>
      </c>
      <c r="T46" s="43">
        <f t="shared" si="5"/>
        <v>5.3191489361702118E-3</v>
      </c>
    </row>
    <row r="47" spans="8:22" x14ac:dyDescent="0.35">
      <c r="R47" t="s">
        <v>51</v>
      </c>
      <c r="S47" s="42">
        <v>4.1666666666666664E-2</v>
      </c>
      <c r="T47" s="43">
        <f t="shared" si="5"/>
        <v>3.1914893617021274E-2</v>
      </c>
    </row>
    <row r="48" spans="8:22" x14ac:dyDescent="0.35">
      <c r="R48" t="s">
        <v>58</v>
      </c>
      <c r="S48" s="42">
        <v>4.1666666666666664E-2</v>
      </c>
      <c r="T48" s="43">
        <f t="shared" si="5"/>
        <v>3.1914893617021274E-2</v>
      </c>
    </row>
    <row r="49" spans="18:20" x14ac:dyDescent="0.35">
      <c r="R49" t="s">
        <v>114</v>
      </c>
      <c r="S49" s="42">
        <v>5.7638888888888892E-2</v>
      </c>
      <c r="T49" s="43">
        <f t="shared" si="5"/>
        <v>4.414893617021276E-2</v>
      </c>
    </row>
    <row r="50" spans="18:20" x14ac:dyDescent="0.35">
      <c r="R50" t="s">
        <v>61</v>
      </c>
      <c r="S50" s="42">
        <v>7.6388888888888895E-2</v>
      </c>
      <c r="T50" s="43">
        <f t="shared" si="5"/>
        <v>5.8510638297872342E-2</v>
      </c>
    </row>
    <row r="51" spans="18:20" x14ac:dyDescent="0.35">
      <c r="R51" t="s">
        <v>60</v>
      </c>
      <c r="S51" s="42">
        <v>1.3888888888888888E-2</v>
      </c>
      <c r="T51" s="43">
        <f t="shared" si="5"/>
        <v>1.0638297872340424E-2</v>
      </c>
    </row>
    <row r="52" spans="18:20" x14ac:dyDescent="0.35">
      <c r="R52" t="s">
        <v>57</v>
      </c>
      <c r="S52" s="42">
        <v>9.7222222222222224E-2</v>
      </c>
      <c r="T52" s="43">
        <f t="shared" si="5"/>
        <v>7.4468085106382975E-2</v>
      </c>
    </row>
    <row r="53" spans="18:20" x14ac:dyDescent="0.35">
      <c r="R53" t="s">
        <v>59</v>
      </c>
      <c r="S53" s="42">
        <v>6.9444444444444441E-3</v>
      </c>
      <c r="T53" s="43">
        <f t="shared" si="5"/>
        <v>5.3191489361702118E-3</v>
      </c>
    </row>
    <row r="54" spans="18:20" x14ac:dyDescent="0.35">
      <c r="R54" t="s">
        <v>54</v>
      </c>
      <c r="S54" s="42">
        <v>0.18055555555555555</v>
      </c>
      <c r="T54" s="43">
        <f t="shared" si="5"/>
        <v>0.13829787234042551</v>
      </c>
    </row>
    <row r="55" spans="18:20" x14ac:dyDescent="0.35">
      <c r="R55" t="s">
        <v>52</v>
      </c>
      <c r="S55" s="42">
        <v>8.3333333333333329E-2</v>
      </c>
      <c r="T55" s="43">
        <f t="shared" si="5"/>
        <v>6.3829787234042548E-2</v>
      </c>
    </row>
    <row r="56" spans="18:20" x14ac:dyDescent="0.35">
      <c r="R56" t="s">
        <v>53</v>
      </c>
      <c r="S56" s="42">
        <v>5.6250000000000001E-2</v>
      </c>
      <c r="T56" s="43">
        <f t="shared" si="5"/>
        <v>4.3085106382978723E-2</v>
      </c>
    </row>
    <row r="57" spans="18:20" x14ac:dyDescent="0.35">
      <c r="R57" t="s">
        <v>62</v>
      </c>
      <c r="S57" s="42">
        <v>7.7083333333333337E-2</v>
      </c>
      <c r="T57" s="43">
        <f t="shared" si="5"/>
        <v>5.9042553191489357E-2</v>
      </c>
    </row>
    <row r="58" spans="18:20" x14ac:dyDescent="0.35">
      <c r="R58" t="s">
        <v>101</v>
      </c>
      <c r="S58" s="42">
        <v>2.0833333333333332E-2</v>
      </c>
      <c r="T58" s="43">
        <f t="shared" si="5"/>
        <v>1.5957446808510637E-2</v>
      </c>
    </row>
    <row r="59" spans="18:20" x14ac:dyDescent="0.35">
      <c r="R59" t="s">
        <v>63</v>
      </c>
      <c r="S59" s="42">
        <v>0.13472222222222222</v>
      </c>
      <c r="T59" s="43">
        <f t="shared" si="5"/>
        <v>0.10319148936170212</v>
      </c>
    </row>
    <row r="60" spans="18:20" x14ac:dyDescent="0.35">
      <c r="R60" t="s">
        <v>55</v>
      </c>
      <c r="S60" s="42">
        <v>9.7222222222222224E-2</v>
      </c>
      <c r="T60" s="43">
        <f t="shared" si="5"/>
        <v>7.4468085106382975E-2</v>
      </c>
    </row>
    <row r="61" spans="18:20" x14ac:dyDescent="0.35">
      <c r="R61" t="s">
        <v>102</v>
      </c>
      <c r="S61" s="74">
        <f>+SUM(S44:S60)</f>
        <v>1.3055555555555556</v>
      </c>
      <c r="T61" s="43"/>
    </row>
  </sheetData>
  <sortState xmlns:xlrd2="http://schemas.microsoft.com/office/spreadsheetml/2017/richdata2" ref="H3:H29">
    <sortCondition ref="H3:H29"/>
  </sortState>
  <phoneticPr fontId="6" type="noConversion"/>
  <dataValidations count="1">
    <dataValidation type="list" allowBlank="1" showInputMessage="1" showErrorMessage="1" sqref="H3:H34 H36" xr:uid="{92643BD6-C511-4898-9329-CA94C9496DF0}">
      <formula1>$H$3:$H$36</formula1>
    </dataValidation>
  </dataValidation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1EAE-AF1C-49C0-B0A0-51F46E6DB793}">
  <dimension ref="A2:I25"/>
  <sheetViews>
    <sheetView showGridLines="0"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7" sqref="G27"/>
    </sheetView>
  </sheetViews>
  <sheetFormatPr baseColWidth="10" defaultRowHeight="14.5" x14ac:dyDescent="0.35"/>
  <cols>
    <col min="1" max="1" width="14.54296875" style="366" bestFit="1" customWidth="1"/>
    <col min="2" max="2" width="14.90625" customWidth="1"/>
    <col min="7" max="7" width="14.453125" style="287" bestFit="1" customWidth="1"/>
    <col min="8" max="8" width="14.453125" style="287" customWidth="1"/>
    <col min="9" max="9" width="81.1796875" bestFit="1" customWidth="1"/>
  </cols>
  <sheetData>
    <row r="2" spans="2:9" x14ac:dyDescent="0.35">
      <c r="B2" s="362" t="s">
        <v>474</v>
      </c>
      <c r="C2" s="356" t="s">
        <v>511</v>
      </c>
      <c r="D2" s="361" t="s">
        <v>512</v>
      </c>
      <c r="E2" s="361" t="s">
        <v>513</v>
      </c>
      <c r="F2" s="361" t="s">
        <v>551</v>
      </c>
      <c r="G2" s="361" t="s">
        <v>552</v>
      </c>
      <c r="H2" s="398" t="s">
        <v>556</v>
      </c>
      <c r="I2" s="361" t="s">
        <v>514</v>
      </c>
    </row>
    <row r="3" spans="2:9" x14ac:dyDescent="0.35">
      <c r="B3" s="536">
        <v>46219</v>
      </c>
      <c r="C3" s="357" t="s">
        <v>515</v>
      </c>
      <c r="D3" s="358">
        <v>0.35416666666666669</v>
      </c>
      <c r="E3" s="358">
        <v>0.375</v>
      </c>
      <c r="F3" s="358">
        <f t="shared" ref="F3:F4" si="0">MOD(E3-D3, 1)</f>
        <v>2.0833333333333315E-2</v>
      </c>
      <c r="G3" s="360">
        <f>+F3*24</f>
        <v>0.49999999999999956</v>
      </c>
      <c r="H3" s="397">
        <f>+G3/12.291</f>
        <v>4.0680172483931291E-2</v>
      </c>
      <c r="I3" s="399" t="s">
        <v>516</v>
      </c>
    </row>
    <row r="4" spans="2:9" x14ac:dyDescent="0.35">
      <c r="B4" s="536"/>
      <c r="C4" s="357" t="s">
        <v>515</v>
      </c>
      <c r="D4" s="358">
        <v>0.65277777777777779</v>
      </c>
      <c r="E4" s="358">
        <v>0.73611111111111116</v>
      </c>
      <c r="F4" s="358">
        <f t="shared" si="0"/>
        <v>8.333333333333337E-2</v>
      </c>
      <c r="G4" s="360">
        <f t="shared" ref="G4:G23" si="1">+F4*24</f>
        <v>2.0000000000000009</v>
      </c>
      <c r="H4" s="397">
        <f t="shared" ref="H4:H24" si="2">+G4/12.291</f>
        <v>0.16272068993572539</v>
      </c>
      <c r="I4" s="399" t="s">
        <v>516</v>
      </c>
    </row>
    <row r="5" spans="2:9" x14ac:dyDescent="0.35">
      <c r="B5" s="537"/>
      <c r="C5" s="357" t="s">
        <v>517</v>
      </c>
      <c r="D5" s="358">
        <v>0.65277777777777779</v>
      </c>
      <c r="E5" s="358">
        <v>0.73611111111111116</v>
      </c>
      <c r="F5" s="358">
        <f t="shared" ref="F5:F23" si="3">MOD(E5-D5, 1)</f>
        <v>8.333333333333337E-2</v>
      </c>
      <c r="G5" s="360">
        <f t="shared" si="1"/>
        <v>2.0000000000000009</v>
      </c>
      <c r="H5" s="397">
        <f t="shared" si="2"/>
        <v>0.16272068993572539</v>
      </c>
      <c r="I5" s="399" t="s">
        <v>516</v>
      </c>
    </row>
    <row r="6" spans="2:9" x14ac:dyDescent="0.35">
      <c r="B6" s="538">
        <v>46220</v>
      </c>
      <c r="C6" s="357" t="s">
        <v>515</v>
      </c>
      <c r="D6" s="358">
        <v>0.47222222222222221</v>
      </c>
      <c r="E6" s="358">
        <v>0.51388888888888884</v>
      </c>
      <c r="F6" s="358">
        <f t="shared" si="3"/>
        <v>4.166666666666663E-2</v>
      </c>
      <c r="G6" s="360">
        <f t="shared" si="1"/>
        <v>0.99999999999999911</v>
      </c>
      <c r="H6" s="397">
        <f t="shared" si="2"/>
        <v>8.1360344967862583E-2</v>
      </c>
      <c r="I6" s="399" t="s">
        <v>518</v>
      </c>
    </row>
    <row r="7" spans="2:9" x14ac:dyDescent="0.35">
      <c r="B7" s="536"/>
      <c r="C7" s="357" t="s">
        <v>517</v>
      </c>
      <c r="D7" s="358">
        <v>0.47222222222222221</v>
      </c>
      <c r="E7" s="358">
        <v>0.51388888888888884</v>
      </c>
      <c r="F7" s="358">
        <f t="shared" si="3"/>
        <v>4.166666666666663E-2</v>
      </c>
      <c r="G7" s="360">
        <f t="shared" si="1"/>
        <v>0.99999999999999911</v>
      </c>
      <c r="H7" s="397">
        <f t="shared" si="2"/>
        <v>8.1360344967862583E-2</v>
      </c>
      <c r="I7" s="399" t="s">
        <v>518</v>
      </c>
    </row>
    <row r="8" spans="2:9" x14ac:dyDescent="0.35">
      <c r="B8" s="537"/>
      <c r="C8" s="357" t="s">
        <v>515</v>
      </c>
      <c r="D8" s="358">
        <v>0.58333333333333337</v>
      </c>
      <c r="E8" s="358">
        <v>0.66666666666666663</v>
      </c>
      <c r="F8" s="358">
        <f t="shared" si="3"/>
        <v>8.3333333333333259E-2</v>
      </c>
      <c r="G8" s="360">
        <f t="shared" si="1"/>
        <v>1.9999999999999982</v>
      </c>
      <c r="H8" s="397">
        <f t="shared" si="2"/>
        <v>0.16272068993572517</v>
      </c>
      <c r="I8" s="399" t="s">
        <v>519</v>
      </c>
    </row>
    <row r="9" spans="2:9" x14ac:dyDescent="0.35">
      <c r="B9" s="538">
        <v>46221</v>
      </c>
      <c r="C9" s="357" t="s">
        <v>517</v>
      </c>
      <c r="D9" s="358">
        <v>0.61111111111111116</v>
      </c>
      <c r="E9" s="358">
        <v>0.6875</v>
      </c>
      <c r="F9" s="358">
        <f t="shared" si="3"/>
        <v>7.638888888888884E-2</v>
      </c>
      <c r="G9" s="360">
        <f t="shared" si="1"/>
        <v>1.8333333333333321</v>
      </c>
      <c r="H9" s="397">
        <f t="shared" si="2"/>
        <v>0.14916063244108144</v>
      </c>
      <c r="I9" s="399" t="s">
        <v>520</v>
      </c>
    </row>
    <row r="10" spans="2:9" x14ac:dyDescent="0.35">
      <c r="B10" s="537"/>
      <c r="C10" s="357" t="s">
        <v>515</v>
      </c>
      <c r="D10" s="358">
        <v>0.63541666666666663</v>
      </c>
      <c r="E10" s="358">
        <v>0.6875</v>
      </c>
      <c r="F10" s="358">
        <f t="shared" si="3"/>
        <v>5.208333333333337E-2</v>
      </c>
      <c r="G10" s="360">
        <f t="shared" si="1"/>
        <v>1.2500000000000009</v>
      </c>
      <c r="H10" s="397">
        <f t="shared" si="2"/>
        <v>0.1017004312098284</v>
      </c>
      <c r="I10" s="399" t="s">
        <v>521</v>
      </c>
    </row>
    <row r="11" spans="2:9" x14ac:dyDescent="0.35">
      <c r="B11" s="538">
        <v>46222</v>
      </c>
      <c r="C11" s="357" t="s">
        <v>517</v>
      </c>
      <c r="D11" s="358">
        <v>0.42708333333333331</v>
      </c>
      <c r="E11" s="358">
        <v>0.76388888888888884</v>
      </c>
      <c r="F11" s="358">
        <f t="shared" si="3"/>
        <v>0.33680555555555552</v>
      </c>
      <c r="G11" s="360">
        <f t="shared" si="1"/>
        <v>8.0833333333333321</v>
      </c>
      <c r="H11" s="397">
        <f t="shared" si="2"/>
        <v>0.65766278849022308</v>
      </c>
      <c r="I11" s="399" t="s">
        <v>522</v>
      </c>
    </row>
    <row r="12" spans="2:9" x14ac:dyDescent="0.35">
      <c r="B12" s="537"/>
      <c r="C12" s="357" t="s">
        <v>515</v>
      </c>
      <c r="D12" s="358">
        <v>0.42708333333333331</v>
      </c>
      <c r="E12" s="358">
        <v>0.76388888888888884</v>
      </c>
      <c r="F12" s="358">
        <f t="shared" si="3"/>
        <v>0.33680555555555552</v>
      </c>
      <c r="G12" s="360">
        <f t="shared" si="1"/>
        <v>8.0833333333333321</v>
      </c>
      <c r="H12" s="397">
        <f t="shared" si="2"/>
        <v>0.65766278849022308</v>
      </c>
      <c r="I12" s="399" t="s">
        <v>522</v>
      </c>
    </row>
    <row r="13" spans="2:9" x14ac:dyDescent="0.35">
      <c r="B13" s="369">
        <v>46223</v>
      </c>
      <c r="C13" s="357" t="s">
        <v>515</v>
      </c>
      <c r="D13" s="358">
        <v>0.625</v>
      </c>
      <c r="E13" s="358">
        <v>0.75</v>
      </c>
      <c r="F13" s="358">
        <f t="shared" si="3"/>
        <v>0.125</v>
      </c>
      <c r="G13" s="360">
        <f t="shared" si="1"/>
        <v>3</v>
      </c>
      <c r="H13" s="397">
        <f t="shared" si="2"/>
        <v>0.24408103490358798</v>
      </c>
      <c r="I13" s="399" t="s">
        <v>522</v>
      </c>
    </row>
    <row r="14" spans="2:9" x14ac:dyDescent="0.35">
      <c r="B14" s="538">
        <v>46224</v>
      </c>
      <c r="C14" s="357" t="s">
        <v>515</v>
      </c>
      <c r="D14" s="358">
        <v>0.39583333333333331</v>
      </c>
      <c r="E14" s="358">
        <v>0.4375</v>
      </c>
      <c r="F14" s="358">
        <f t="shared" si="3"/>
        <v>4.1666666666666685E-2</v>
      </c>
      <c r="G14" s="360">
        <f t="shared" si="1"/>
        <v>1.0000000000000004</v>
      </c>
      <c r="H14" s="397">
        <f t="shared" si="2"/>
        <v>8.1360344967862694E-2</v>
      </c>
      <c r="I14" s="399" t="s">
        <v>523</v>
      </c>
    </row>
    <row r="15" spans="2:9" x14ac:dyDescent="0.35">
      <c r="B15" s="537"/>
      <c r="C15" s="357" t="s">
        <v>515</v>
      </c>
      <c r="D15" s="358">
        <v>0.4375</v>
      </c>
      <c r="E15" s="358">
        <v>0.52083333333333337</v>
      </c>
      <c r="F15" s="358">
        <f t="shared" si="3"/>
        <v>8.333333333333337E-2</v>
      </c>
      <c r="G15" s="360">
        <f t="shared" si="1"/>
        <v>2.0000000000000009</v>
      </c>
      <c r="H15" s="397">
        <f t="shared" si="2"/>
        <v>0.16272068993572539</v>
      </c>
      <c r="I15" s="399" t="s">
        <v>522</v>
      </c>
    </row>
    <row r="16" spans="2:9" x14ac:dyDescent="0.35">
      <c r="B16" s="369">
        <v>46225</v>
      </c>
      <c r="C16" s="357" t="s">
        <v>524</v>
      </c>
      <c r="D16" s="358">
        <v>0.39583333333333331</v>
      </c>
      <c r="E16" s="358">
        <v>0.41666666666666669</v>
      </c>
      <c r="F16" s="358">
        <f t="shared" si="3"/>
        <v>2.083333333333337E-2</v>
      </c>
      <c r="G16" s="360">
        <f t="shared" si="1"/>
        <v>0.50000000000000089</v>
      </c>
      <c r="H16" s="397">
        <f t="shared" si="2"/>
        <v>4.0680172483931402E-2</v>
      </c>
      <c r="I16" s="399" t="s">
        <v>525</v>
      </c>
    </row>
    <row r="17" spans="1:9" x14ac:dyDescent="0.35">
      <c r="B17" s="369">
        <v>46227</v>
      </c>
      <c r="C17" s="357" t="s">
        <v>524</v>
      </c>
      <c r="D17" s="358">
        <v>0.4375</v>
      </c>
      <c r="E17" s="358">
        <v>0.5</v>
      </c>
      <c r="F17" s="358">
        <f t="shared" si="3"/>
        <v>6.25E-2</v>
      </c>
      <c r="G17" s="360">
        <f t="shared" si="1"/>
        <v>1.5</v>
      </c>
      <c r="H17" s="397">
        <f t="shared" si="2"/>
        <v>0.12204051745179399</v>
      </c>
      <c r="I17" s="399" t="s">
        <v>526</v>
      </c>
    </row>
    <row r="18" spans="1:9" x14ac:dyDescent="0.35">
      <c r="B18" s="369">
        <v>46229</v>
      </c>
      <c r="C18" s="357" t="s">
        <v>515</v>
      </c>
      <c r="D18" s="358">
        <v>0.65277777777777779</v>
      </c>
      <c r="E18" s="358">
        <v>0.70833333333333337</v>
      </c>
      <c r="F18" s="358">
        <f t="shared" si="3"/>
        <v>5.555555555555558E-2</v>
      </c>
      <c r="G18" s="360">
        <f t="shared" si="1"/>
        <v>1.3333333333333339</v>
      </c>
      <c r="H18" s="397">
        <f t="shared" si="2"/>
        <v>0.10848045995715026</v>
      </c>
      <c r="I18" s="399" t="s">
        <v>527</v>
      </c>
    </row>
    <row r="19" spans="1:9" x14ac:dyDescent="0.35">
      <c r="B19" s="369">
        <v>46230</v>
      </c>
      <c r="C19" s="357" t="s">
        <v>515</v>
      </c>
      <c r="D19" s="358">
        <v>0.60416666666666663</v>
      </c>
      <c r="E19" s="358">
        <v>0.63541666666666663</v>
      </c>
      <c r="F19" s="358">
        <f t="shared" si="3"/>
        <v>3.125E-2</v>
      </c>
      <c r="G19" s="360">
        <f t="shared" si="1"/>
        <v>0.75</v>
      </c>
      <c r="H19" s="397">
        <f t="shared" si="2"/>
        <v>6.1020258725896996E-2</v>
      </c>
      <c r="I19" s="399" t="s">
        <v>528</v>
      </c>
    </row>
    <row r="20" spans="1:9" x14ac:dyDescent="0.35">
      <c r="B20" s="369">
        <v>46231</v>
      </c>
      <c r="C20" s="357" t="s">
        <v>515</v>
      </c>
      <c r="D20" s="358">
        <v>0.59375</v>
      </c>
      <c r="E20" s="358">
        <v>0.70833333333333337</v>
      </c>
      <c r="F20" s="358">
        <f t="shared" si="3"/>
        <v>0.11458333333333337</v>
      </c>
      <c r="G20" s="360">
        <f t="shared" si="1"/>
        <v>2.7500000000000009</v>
      </c>
      <c r="H20" s="397">
        <f t="shared" si="2"/>
        <v>0.22374094866162239</v>
      </c>
      <c r="I20" s="399" t="s">
        <v>529</v>
      </c>
    </row>
    <row r="21" spans="1:9" x14ac:dyDescent="0.35">
      <c r="B21" s="369">
        <v>46231</v>
      </c>
      <c r="C21" s="357" t="s">
        <v>524</v>
      </c>
      <c r="D21" s="358">
        <v>0.59375</v>
      </c>
      <c r="E21" s="358">
        <v>0.70833333333333337</v>
      </c>
      <c r="F21" s="358">
        <f t="shared" si="3"/>
        <v>0.11458333333333337</v>
      </c>
      <c r="G21" s="360">
        <f t="shared" si="1"/>
        <v>2.7500000000000009</v>
      </c>
      <c r="H21" s="397">
        <f t="shared" si="2"/>
        <v>0.22374094866162239</v>
      </c>
      <c r="I21" s="399" t="s">
        <v>529</v>
      </c>
    </row>
    <row r="22" spans="1:9" x14ac:dyDescent="0.35">
      <c r="B22" s="369">
        <v>46231</v>
      </c>
      <c r="C22" s="357" t="s">
        <v>515</v>
      </c>
      <c r="D22" s="358">
        <v>0.70833333333333337</v>
      </c>
      <c r="E22" s="358">
        <v>0.75</v>
      </c>
      <c r="F22" s="358">
        <f t="shared" si="3"/>
        <v>4.166666666666663E-2</v>
      </c>
      <c r="G22" s="360">
        <f t="shared" si="1"/>
        <v>0.99999999999999911</v>
      </c>
      <c r="H22" s="397">
        <f t="shared" si="2"/>
        <v>8.1360344967862583E-2</v>
      </c>
      <c r="I22" s="399" t="s">
        <v>530</v>
      </c>
    </row>
    <row r="23" spans="1:9" x14ac:dyDescent="0.35">
      <c r="B23" s="370">
        <v>46231</v>
      </c>
      <c r="C23" s="371" t="s">
        <v>524</v>
      </c>
      <c r="D23" s="372">
        <v>0.70833333333333337</v>
      </c>
      <c r="E23" s="372">
        <v>0.75</v>
      </c>
      <c r="F23" s="358">
        <f t="shared" si="3"/>
        <v>4.166666666666663E-2</v>
      </c>
      <c r="G23" s="360">
        <f t="shared" si="1"/>
        <v>0.99999999999999911</v>
      </c>
      <c r="H23" s="397">
        <f t="shared" si="2"/>
        <v>8.1360344967862583E-2</v>
      </c>
      <c r="I23" s="400" t="s">
        <v>531</v>
      </c>
    </row>
    <row r="24" spans="1:9" x14ac:dyDescent="0.35">
      <c r="B24" s="370">
        <v>46232</v>
      </c>
      <c r="C24" s="357" t="s">
        <v>515</v>
      </c>
      <c r="D24" s="372">
        <v>0.54166666666666663</v>
      </c>
      <c r="E24" s="372">
        <v>0.64583333333333337</v>
      </c>
      <c r="F24" s="358">
        <f t="shared" ref="F24" si="4">MOD(E24-D24, 1)</f>
        <v>0.10416666666666674</v>
      </c>
      <c r="G24" s="360">
        <f t="shared" ref="G24" si="5">+F24*24</f>
        <v>2.5000000000000018</v>
      </c>
      <c r="H24" s="397">
        <f t="shared" si="2"/>
        <v>0.2034008624196568</v>
      </c>
      <c r="I24" s="400" t="s">
        <v>554</v>
      </c>
    </row>
    <row r="25" spans="1:9" x14ac:dyDescent="0.35">
      <c r="A25" s="367"/>
      <c r="B25" s="533" t="s">
        <v>481</v>
      </c>
      <c r="C25" s="534"/>
      <c r="D25" s="534"/>
      <c r="E25" s="535"/>
      <c r="F25" s="395"/>
      <c r="G25" s="368">
        <f>SUM(G3:G24)</f>
        <v>47.833333333333336</v>
      </c>
      <c r="H25" s="368">
        <f>SUM(H3:H24)</f>
        <v>3.8917365009627631</v>
      </c>
      <c r="I25" s="359"/>
    </row>
  </sheetData>
  <mergeCells count="6">
    <mergeCell ref="B25:E25"/>
    <mergeCell ref="B3:B5"/>
    <mergeCell ref="B6:B8"/>
    <mergeCell ref="B9:B10"/>
    <mergeCell ref="B11:B12"/>
    <mergeCell ref="B14:B15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937D-9247-46C9-9920-DA92DE17E875}">
  <dimension ref="A1"/>
  <sheetViews>
    <sheetView zoomScaleNormal="100" zoomScaleSheetLayoutView="145" workbookViewId="0">
      <selection activeCell="J40" sqref="J40"/>
    </sheetView>
  </sheetViews>
  <sheetFormatPr baseColWidth="10" defaultRowHeight="14.5" x14ac:dyDescent="0.35"/>
  <sheetData/>
  <pageMargins left="0.7" right="0.7" top="0.75" bottom="0.75" header="0.3" footer="0.3"/>
  <pageSetup scale="7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66</vt:i4>
      </vt:variant>
      <vt:variant>
        <vt:lpstr>Rangos con nombre</vt:lpstr>
      </vt:variant>
      <vt:variant>
        <vt:i4>62</vt:i4>
      </vt:variant>
    </vt:vector>
  </HeadingPairs>
  <TitlesOfParts>
    <vt:vector size="128" baseType="lpstr">
      <vt:lpstr>Reporte Diario</vt:lpstr>
      <vt:lpstr>01-07 A</vt:lpstr>
      <vt:lpstr>01-07 B</vt:lpstr>
      <vt:lpstr>02-07A</vt:lpstr>
      <vt:lpstr>02-07B</vt:lpstr>
      <vt:lpstr>03-07A</vt:lpstr>
      <vt:lpstr>03-07B</vt:lpstr>
      <vt:lpstr>04-07A</vt:lpstr>
      <vt:lpstr>04-07B</vt:lpstr>
      <vt:lpstr>05-07A</vt:lpstr>
      <vt:lpstr>05-07B</vt:lpstr>
      <vt:lpstr>06-07A</vt:lpstr>
      <vt:lpstr>06-07B</vt:lpstr>
      <vt:lpstr>07-07A</vt:lpstr>
      <vt:lpstr>07-07B</vt:lpstr>
      <vt:lpstr>08-07A</vt:lpstr>
      <vt:lpstr>08-07B</vt:lpstr>
      <vt:lpstr>09-07A</vt:lpstr>
      <vt:lpstr>09-07B</vt:lpstr>
      <vt:lpstr>10-07A</vt:lpstr>
      <vt:lpstr>10-07B</vt:lpstr>
      <vt:lpstr>11-07A</vt:lpstr>
      <vt:lpstr>11-07B</vt:lpstr>
      <vt:lpstr>12-07A</vt:lpstr>
      <vt:lpstr>12-07B</vt:lpstr>
      <vt:lpstr>13-07A</vt:lpstr>
      <vt:lpstr>13-07B</vt:lpstr>
      <vt:lpstr>14-07A</vt:lpstr>
      <vt:lpstr>14-07B</vt:lpstr>
      <vt:lpstr>15-07A</vt:lpstr>
      <vt:lpstr>15-07B</vt:lpstr>
      <vt:lpstr>16-07A</vt:lpstr>
      <vt:lpstr>16-07B</vt:lpstr>
      <vt:lpstr>17-07A</vt:lpstr>
      <vt:lpstr>17-07B</vt:lpstr>
      <vt:lpstr>18-07A</vt:lpstr>
      <vt:lpstr>18-07B</vt:lpstr>
      <vt:lpstr>19-07A</vt:lpstr>
      <vt:lpstr>19-07B</vt:lpstr>
      <vt:lpstr>20-07A</vt:lpstr>
      <vt:lpstr>20-07B</vt:lpstr>
      <vt:lpstr>21-07A</vt:lpstr>
      <vt:lpstr>21-07B</vt:lpstr>
      <vt:lpstr>22-07A</vt:lpstr>
      <vt:lpstr>22-07B </vt:lpstr>
      <vt:lpstr>23-07A </vt:lpstr>
      <vt:lpstr>23-07B</vt:lpstr>
      <vt:lpstr>24-07A</vt:lpstr>
      <vt:lpstr>24-07B</vt:lpstr>
      <vt:lpstr>25-07A</vt:lpstr>
      <vt:lpstr>25-07B</vt:lpstr>
      <vt:lpstr>26-07A</vt:lpstr>
      <vt:lpstr>26-07B</vt:lpstr>
      <vt:lpstr>27-07A</vt:lpstr>
      <vt:lpstr>27-07B </vt:lpstr>
      <vt:lpstr>28-07A</vt:lpstr>
      <vt:lpstr>28-07B</vt:lpstr>
      <vt:lpstr>29-07A</vt:lpstr>
      <vt:lpstr>29-07B</vt:lpstr>
      <vt:lpstr>30-07A</vt:lpstr>
      <vt:lpstr>30-07B </vt:lpstr>
      <vt:lpstr>Venta</vt:lpstr>
      <vt:lpstr>Analisis Venta por Paralización</vt:lpstr>
      <vt:lpstr>Datos</vt:lpstr>
      <vt:lpstr>Det. limpieza nieve.</vt:lpstr>
      <vt:lpstr>Descripción Alertas</vt:lpstr>
      <vt:lpstr>'01-07 A'!Área_de_impresión</vt:lpstr>
      <vt:lpstr>'01-07 B'!Área_de_impresión</vt:lpstr>
      <vt:lpstr>'02-07A'!Área_de_impresión</vt:lpstr>
      <vt:lpstr>'02-07B'!Área_de_impresión</vt:lpstr>
      <vt:lpstr>'03-07A'!Área_de_impresión</vt:lpstr>
      <vt:lpstr>'03-07B'!Área_de_impresión</vt:lpstr>
      <vt:lpstr>'04-07A'!Área_de_impresión</vt:lpstr>
      <vt:lpstr>'04-07B'!Área_de_impresión</vt:lpstr>
      <vt:lpstr>'05-07A'!Área_de_impresión</vt:lpstr>
      <vt:lpstr>'05-07B'!Área_de_impresión</vt:lpstr>
      <vt:lpstr>'06-07A'!Área_de_impresión</vt:lpstr>
      <vt:lpstr>'06-07B'!Área_de_impresión</vt:lpstr>
      <vt:lpstr>'07-07A'!Área_de_impresión</vt:lpstr>
      <vt:lpstr>'07-07B'!Área_de_impresión</vt:lpstr>
      <vt:lpstr>'08-07A'!Área_de_impresión</vt:lpstr>
      <vt:lpstr>'08-07B'!Área_de_impresión</vt:lpstr>
      <vt:lpstr>'09-07A'!Área_de_impresión</vt:lpstr>
      <vt:lpstr>'09-07B'!Área_de_impresión</vt:lpstr>
      <vt:lpstr>'10-07A'!Área_de_impresión</vt:lpstr>
      <vt:lpstr>'10-07B'!Área_de_impresión</vt:lpstr>
      <vt:lpstr>'11-07A'!Área_de_impresión</vt:lpstr>
      <vt:lpstr>'11-07B'!Área_de_impresión</vt:lpstr>
      <vt:lpstr>'12-07A'!Área_de_impresión</vt:lpstr>
      <vt:lpstr>'12-07B'!Área_de_impresión</vt:lpstr>
      <vt:lpstr>'13-07A'!Área_de_impresión</vt:lpstr>
      <vt:lpstr>'13-07B'!Área_de_impresión</vt:lpstr>
      <vt:lpstr>'14-07A'!Área_de_impresión</vt:lpstr>
      <vt:lpstr>'14-07B'!Área_de_impresión</vt:lpstr>
      <vt:lpstr>'15-07A'!Área_de_impresión</vt:lpstr>
      <vt:lpstr>'15-07B'!Área_de_impresión</vt:lpstr>
      <vt:lpstr>'16-07A'!Área_de_impresión</vt:lpstr>
      <vt:lpstr>'16-07B'!Área_de_impresión</vt:lpstr>
      <vt:lpstr>'17-07A'!Área_de_impresión</vt:lpstr>
      <vt:lpstr>'17-07B'!Área_de_impresión</vt:lpstr>
      <vt:lpstr>'18-07A'!Área_de_impresión</vt:lpstr>
      <vt:lpstr>'18-07B'!Área_de_impresión</vt:lpstr>
      <vt:lpstr>'19-07A'!Área_de_impresión</vt:lpstr>
      <vt:lpstr>'19-07B'!Área_de_impresión</vt:lpstr>
      <vt:lpstr>'20-07A'!Área_de_impresión</vt:lpstr>
      <vt:lpstr>'20-07B'!Área_de_impresión</vt:lpstr>
      <vt:lpstr>'21-07A'!Área_de_impresión</vt:lpstr>
      <vt:lpstr>'21-07B'!Área_de_impresión</vt:lpstr>
      <vt:lpstr>'22-07A'!Área_de_impresión</vt:lpstr>
      <vt:lpstr>'22-07B '!Área_de_impresión</vt:lpstr>
      <vt:lpstr>'23-07A '!Área_de_impresión</vt:lpstr>
      <vt:lpstr>'23-07B'!Área_de_impresión</vt:lpstr>
      <vt:lpstr>'24-07A'!Área_de_impresión</vt:lpstr>
      <vt:lpstr>'24-07B'!Área_de_impresión</vt:lpstr>
      <vt:lpstr>'25-07A'!Área_de_impresión</vt:lpstr>
      <vt:lpstr>'25-07B'!Área_de_impresión</vt:lpstr>
      <vt:lpstr>'26-07A'!Área_de_impresión</vt:lpstr>
      <vt:lpstr>'26-07B'!Área_de_impresión</vt:lpstr>
      <vt:lpstr>'27-07A'!Área_de_impresión</vt:lpstr>
      <vt:lpstr>'27-07B '!Área_de_impresión</vt:lpstr>
      <vt:lpstr>'28-07A'!Área_de_impresión</vt:lpstr>
      <vt:lpstr>'28-07B'!Área_de_impresión</vt:lpstr>
      <vt:lpstr>'29-07A'!Área_de_impresión</vt:lpstr>
      <vt:lpstr>'29-07B'!Área_de_impresión</vt:lpstr>
      <vt:lpstr>'30-07A'!Área_de_impresión</vt:lpstr>
      <vt:lpstr>'30-07B '!Área_de_impresión</vt:lpstr>
      <vt:lpstr>'Descripción Alertas'!Área_de_impresión</vt:lpstr>
      <vt:lpstr>'Reporte Diario'!Área_de_impresión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Ramírez</dc:creator>
  <cp:lastModifiedBy>cristopher cuevas</cp:lastModifiedBy>
  <cp:lastPrinted>2026-06-30T15:35:46Z</cp:lastPrinted>
  <dcterms:created xsi:type="dcterms:W3CDTF">2025-09-01T15:06:21Z</dcterms:created>
  <dcterms:modified xsi:type="dcterms:W3CDTF">2026-08-04T19:09:48Z</dcterms:modified>
</cp:coreProperties>
</file>