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volcan-my.sharepoint.com/personal/maperez_fvolcan_cl/Documents/VOLCAN FOODS T24.25/Venta/ESPARRAGOS/1.Cencosud/"/>
    </mc:Choice>
  </mc:AlternateContent>
  <xr:revisionPtr revIDLastSave="4102" documentId="8_{429ADB98-A61F-4F69-82C6-1FCA6E3B2FE9}" xr6:coauthVersionLast="47" xr6:coauthVersionMax="47" xr10:uidLastSave="{59812EBA-6AF0-4E72-BB41-F9AFDDD38E9C}"/>
  <bookViews>
    <workbookView xWindow="-120" yWindow="-120" windowWidth="20730" windowHeight="11160" tabRatio="1000" activeTab="3" xr2:uid="{25A28118-E3CC-42C1-B0A8-764C05F8C23C}"/>
  </bookViews>
  <sheets>
    <sheet name="Pagos" sheetId="17" r:id="rId1"/>
    <sheet name="RESUMEN CONFIRMING" sheetId="4" r:id="rId2"/>
    <sheet name="Hoja1" sheetId="33" state="hidden" r:id="rId3"/>
    <sheet name="CTA CORRIENTE" sheetId="1" r:id="rId4"/>
    <sheet name="Confirming 2_05.10" sheetId="6" r:id="rId5"/>
    <sheet name="Rev.Acuerdo_09-04-24" sheetId="39" r:id="rId6"/>
    <sheet name="Nómina de pago 05.04.24" sheetId="38" r:id="rId7"/>
    <sheet name="Rev.Acuerdo_02-04-24" sheetId="37" r:id="rId8"/>
    <sheet name="Rev.Acuerdo_26-03-24" sheetId="36" r:id="rId9"/>
    <sheet name="Rev.Acuerdo_18.03.24" sheetId="35" r:id="rId10"/>
    <sheet name="Rev.Acuerdo_12.03.24" sheetId="34" r:id="rId11"/>
    <sheet name="Rev.Acuerdo_16-01-24" sheetId="32" r:id="rId12"/>
    <sheet name="Confirming 10_10-01" sheetId="31" r:id="rId13"/>
    <sheet name="Rev.Acuerdo _09-01-24 (2)" sheetId="30" r:id="rId14"/>
    <sheet name="Rev.Acuerdo _09-01-24" sheetId="28" r:id="rId15"/>
    <sheet name="Confirming 9_04-01" sheetId="29" r:id="rId16"/>
    <sheet name="Rev.Acuerdo _26-12-23" sheetId="27" r:id="rId17"/>
    <sheet name="Rev.Acuerdo _19-12-23" sheetId="26" r:id="rId18"/>
    <sheet name="Rev.Acuerdo _12-12-23" sheetId="25" r:id="rId19"/>
    <sheet name="Confirming 8_06-12" sheetId="24" r:id="rId20"/>
    <sheet name="Rev.Acuerdo _04-12-23" sheetId="23" r:id="rId21"/>
    <sheet name="Confirming 7_29-11" sheetId="22" r:id="rId22"/>
    <sheet name="Rev.Acuerdo _28-11" sheetId="21" r:id="rId23"/>
    <sheet name="Confirming 6_24.11" sheetId="20" r:id="rId24"/>
    <sheet name="Rev.Acuerdo _21-11" sheetId="19" r:id="rId25"/>
    <sheet name="Confirming 5_15.11" sheetId="18" r:id="rId26"/>
    <sheet name="Rev.Acuerdo _14-11" sheetId="16" r:id="rId27"/>
    <sheet name="Rev.Acuerdo _07-11" sheetId="15" r:id="rId28"/>
    <sheet name="Rev.Acuerdo _02-11" sheetId="13" r:id="rId29"/>
    <sheet name="Rev.Acuerdo _31-10" sheetId="14" r:id="rId30"/>
    <sheet name="Rev.Acuerdo _24-10_2" sheetId="12" r:id="rId31"/>
    <sheet name="Rev.Acuerdo _24-10_1" sheetId="11" r:id="rId32"/>
    <sheet name="Rev.Acuerdo _17.10" sheetId="9" r:id="rId33"/>
    <sheet name="Rev.Acuerdo _10.10" sheetId="7" r:id="rId34"/>
    <sheet name="Confirming 4_18.10" sheetId="10" r:id="rId35"/>
    <sheet name="Confirming 3_11.10" sheetId="8" r:id="rId36"/>
    <sheet name="Confirming 1_28.09" sheetId="3" r:id="rId37"/>
    <sheet name="Rev.Acuerdo _28.09" sheetId="2" r:id="rId38"/>
    <sheet name="Formato Nota de Credito" sheetId="5" r:id="rId39"/>
  </sheets>
  <definedNames>
    <definedName name="_xlnm._FilterDatabase" localSheetId="3" hidden="1">'CTA CORRIENTE'!$A$4:$W$271</definedName>
  </definedNames>
  <calcPr calcId="191029"/>
  <pivotCaches>
    <pivotCache cacheId="62" r:id="rId4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" i="1" l="1"/>
  <c r="I271" i="1"/>
  <c r="J271" i="1" s="1"/>
  <c r="P247" i="1"/>
  <c r="P246" i="1"/>
  <c r="P245" i="1"/>
  <c r="P243" i="1"/>
  <c r="P242" i="1"/>
  <c r="P241" i="1"/>
  <c r="H257" i="1"/>
  <c r="I270" i="1"/>
  <c r="J270" i="1" s="1"/>
  <c r="I269" i="1"/>
  <c r="J269" i="1" s="1"/>
  <c r="L270" i="1"/>
  <c r="L269" i="1"/>
  <c r="P239" i="1" l="1"/>
  <c r="P238" i="1"/>
  <c r="P237" i="1"/>
  <c r="P233" i="1"/>
  <c r="P232" i="1"/>
  <c r="P231" i="1"/>
  <c r="E12" i="39"/>
  <c r="E13" i="39" s="1"/>
  <c r="M4" i="39"/>
  <c r="F11" i="39" s="1"/>
  <c r="M3" i="39"/>
  <c r="F13" i="39" s="1"/>
  <c r="M2" i="39"/>
  <c r="F12" i="39" s="1"/>
  <c r="P229" i="1"/>
  <c r="P228" i="1"/>
  <c r="P227" i="1"/>
  <c r="F14" i="39" l="1"/>
  <c r="H249" i="1"/>
  <c r="G14" i="37"/>
  <c r="H14" i="37" s="1"/>
  <c r="F14" i="37"/>
  <c r="M5" i="37"/>
  <c r="L268" i="1"/>
  <c r="I268" i="1"/>
  <c r="J268" i="1" s="1"/>
  <c r="I3" i="38"/>
  <c r="H3" i="38"/>
  <c r="J3" i="38"/>
  <c r="J1" i="38" s="1"/>
  <c r="F13" i="37"/>
  <c r="M4" i="37"/>
  <c r="F11" i="37" s="1"/>
  <c r="M3" i="37"/>
  <c r="M2" i="37"/>
  <c r="F12" i="37" s="1"/>
  <c r="H263" i="1"/>
  <c r="H262" i="1"/>
  <c r="H261" i="1"/>
  <c r="H237" i="1"/>
  <c r="H235" i="1"/>
  <c r="H250" i="1" s="1"/>
  <c r="H259" i="1"/>
  <c r="H260" i="1" s="1"/>
  <c r="H236" i="1"/>
  <c r="L235" i="1"/>
  <c r="P260" i="1"/>
  <c r="P259" i="1"/>
  <c r="L259" i="1"/>
  <c r="H266" i="1"/>
  <c r="H267" i="1"/>
  <c r="H265" i="1"/>
  <c r="L267" i="1"/>
  <c r="L266" i="1"/>
  <c r="L265" i="1"/>
  <c r="P264" i="1"/>
  <c r="L264" i="1"/>
  <c r="I264" i="1"/>
  <c r="J264" i="1" s="1"/>
  <c r="Q264" i="1" s="1"/>
  <c r="F13" i="36"/>
  <c r="F12" i="36"/>
  <c r="F11" i="36"/>
  <c r="P250" i="1"/>
  <c r="P249" i="1"/>
  <c r="L249" i="1"/>
  <c r="M4" i="36"/>
  <c r="M3" i="36"/>
  <c r="M2" i="36"/>
  <c r="F13" i="35"/>
  <c r="F11" i="35"/>
  <c r="M4" i="35"/>
  <c r="E12" i="35"/>
  <c r="E13" i="35" s="1"/>
  <c r="M3" i="35"/>
  <c r="M2" i="35"/>
  <c r="F12" i="35" s="1"/>
  <c r="H253" i="1" l="1"/>
  <c r="H252" i="1"/>
  <c r="H251" i="1"/>
  <c r="I265" i="1"/>
  <c r="J265" i="1" s="1"/>
  <c r="G11" i="39"/>
  <c r="I267" i="1"/>
  <c r="J267" i="1" s="1"/>
  <c r="G13" i="39"/>
  <c r="H13" i="39" s="1"/>
  <c r="I266" i="1"/>
  <c r="J266" i="1" s="1"/>
  <c r="G12" i="39"/>
  <c r="H12" i="39" s="1"/>
  <c r="F15" i="37"/>
  <c r="I235" i="1"/>
  <c r="I259" i="1"/>
  <c r="I249" i="1"/>
  <c r="F14" i="36"/>
  <c r="F14" i="35"/>
  <c r="H256" i="1"/>
  <c r="H255" i="1"/>
  <c r="G12" i="37" l="1"/>
  <c r="H12" i="37" s="1"/>
  <c r="G14" i="39"/>
  <c r="G15" i="39" s="1"/>
  <c r="H11" i="39"/>
  <c r="H14" i="39" s="1"/>
  <c r="G11" i="37"/>
  <c r="H11" i="37" s="1"/>
  <c r="G13" i="37"/>
  <c r="H13" i="37" s="1"/>
  <c r="J235" i="1"/>
  <c r="J259" i="1"/>
  <c r="Q259" i="1" s="1"/>
  <c r="J249" i="1"/>
  <c r="Q249" i="1" s="1"/>
  <c r="I253" i="1"/>
  <c r="J253" i="1" s="1"/>
  <c r="I251" i="1"/>
  <c r="J251" i="1" s="1"/>
  <c r="H246" i="1"/>
  <c r="H247" i="1"/>
  <c r="I247" i="1" s="1"/>
  <c r="J247" i="1" s="1"/>
  <c r="Q247" i="1" s="1"/>
  <c r="H245" i="1"/>
  <c r="I245" i="1" s="1"/>
  <c r="J245" i="1" s="1"/>
  <c r="Q245" i="1" s="1"/>
  <c r="L263" i="1"/>
  <c r="I263" i="1"/>
  <c r="J263" i="1" s="1"/>
  <c r="L262" i="1"/>
  <c r="L261" i="1"/>
  <c r="I261" i="1"/>
  <c r="J261" i="1" s="1"/>
  <c r="P258" i="1"/>
  <c r="L258" i="1"/>
  <c r="I258" i="1"/>
  <c r="J258" i="1" s="1"/>
  <c r="Q258" i="1" s="1"/>
  <c r="L257" i="1"/>
  <c r="I257" i="1"/>
  <c r="J257" i="1" s="1"/>
  <c r="L256" i="1"/>
  <c r="L255" i="1"/>
  <c r="I255" i="1"/>
  <c r="J255" i="1" s="1"/>
  <c r="P254" i="1"/>
  <c r="L254" i="1"/>
  <c r="I254" i="1"/>
  <c r="J254" i="1" s="1"/>
  <c r="Q254" i="1" s="1"/>
  <c r="L253" i="1"/>
  <c r="L252" i="1"/>
  <c r="L251" i="1"/>
  <c r="P248" i="1"/>
  <c r="L248" i="1"/>
  <c r="I248" i="1"/>
  <c r="J248" i="1" s="1"/>
  <c r="Q248" i="1" s="1"/>
  <c r="L247" i="1"/>
  <c r="L246" i="1"/>
  <c r="L245" i="1"/>
  <c r="P244" i="1"/>
  <c r="L244" i="1"/>
  <c r="I244" i="1"/>
  <c r="J244" i="1" s="1"/>
  <c r="E15" i="34"/>
  <c r="E14" i="34"/>
  <c r="F14" i="34"/>
  <c r="F13" i="34"/>
  <c r="M5" i="34"/>
  <c r="M6" i="34"/>
  <c r="M4" i="34"/>
  <c r="M3" i="34"/>
  <c r="F15" i="34" s="1"/>
  <c r="M2" i="34"/>
  <c r="H242" i="1"/>
  <c r="H243" i="1"/>
  <c r="H238" i="1"/>
  <c r="I238" i="1" s="1"/>
  <c r="J238" i="1" s="1"/>
  <c r="Q238" i="1" s="1"/>
  <c r="H239" i="1"/>
  <c r="H241" i="1"/>
  <c r="I237" i="1"/>
  <c r="J237" i="1" s="1"/>
  <c r="Q237" i="1" s="1"/>
  <c r="L243" i="1"/>
  <c r="L242" i="1"/>
  <c r="L241" i="1"/>
  <c r="P240" i="1"/>
  <c r="L240" i="1"/>
  <c r="I240" i="1"/>
  <c r="J240" i="1" s="1"/>
  <c r="L239" i="1"/>
  <c r="L238" i="1"/>
  <c r="L237" i="1"/>
  <c r="P234" i="1"/>
  <c r="L234" i="1"/>
  <c r="I234" i="1"/>
  <c r="J234" i="1" s="1"/>
  <c r="H232" i="1"/>
  <c r="G12" i="35" s="1"/>
  <c r="H12" i="35" s="1"/>
  <c r="H233" i="1"/>
  <c r="H231" i="1"/>
  <c r="I225" i="1"/>
  <c r="J225" i="1" s="1"/>
  <c r="I224" i="1"/>
  <c r="J224" i="1" s="1"/>
  <c r="L233" i="1"/>
  <c r="L232" i="1"/>
  <c r="L231" i="1"/>
  <c r="P230" i="1"/>
  <c r="L230" i="1"/>
  <c r="I230" i="1"/>
  <c r="J230" i="1" s="1"/>
  <c r="M4" i="32"/>
  <c r="F11" i="32" s="1"/>
  <c r="M3" i="32"/>
  <c r="F12" i="32" s="1"/>
  <c r="M2" i="32"/>
  <c r="F10" i="32" s="1"/>
  <c r="I226" i="1"/>
  <c r="J226" i="1" s="1"/>
  <c r="L226" i="1"/>
  <c r="P226" i="1"/>
  <c r="H227" i="1"/>
  <c r="I227" i="1" s="1"/>
  <c r="J227" i="1" s="1"/>
  <c r="L227" i="1"/>
  <c r="H228" i="1"/>
  <c r="I228" i="1" s="1"/>
  <c r="J228" i="1" s="1"/>
  <c r="L228" i="1"/>
  <c r="H229" i="1"/>
  <c r="I229" i="1" s="1"/>
  <c r="J229" i="1" s="1"/>
  <c r="L229" i="1"/>
  <c r="G13" i="4"/>
  <c r="E13" i="4"/>
  <c r="AA46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Z46" i="31"/>
  <c r="S46" i="31"/>
  <c r="R46" i="31"/>
  <c r="P46" i="31"/>
  <c r="O46" i="31"/>
  <c r="Y44" i="31"/>
  <c r="Y43" i="31"/>
  <c r="Y42" i="31"/>
  <c r="Y41" i="31"/>
  <c r="U19" i="31"/>
  <c r="V19" i="31" s="1"/>
  <c r="W19" i="31" s="1"/>
  <c r="U18" i="31"/>
  <c r="V18" i="31" s="1"/>
  <c r="W18" i="31" s="1"/>
  <c r="U17" i="31"/>
  <c r="V17" i="31" s="1"/>
  <c r="W17" i="31" s="1"/>
  <c r="U16" i="31"/>
  <c r="V16" i="31" s="1"/>
  <c r="W16" i="31" s="1"/>
  <c r="U15" i="31"/>
  <c r="V15" i="31" s="1"/>
  <c r="W15" i="31" s="1"/>
  <c r="U14" i="31"/>
  <c r="V14" i="31" s="1"/>
  <c r="W14" i="31" s="1"/>
  <c r="U13" i="31"/>
  <c r="V13" i="31" s="1"/>
  <c r="W13" i="31" s="1"/>
  <c r="U12" i="31"/>
  <c r="V12" i="31" s="1"/>
  <c r="W12" i="31" s="1"/>
  <c r="U11" i="31"/>
  <c r="V11" i="31" s="1"/>
  <c r="W11" i="31" s="1"/>
  <c r="Y10" i="31"/>
  <c r="U10" i="31"/>
  <c r="V10" i="31" s="1"/>
  <c r="F10" i="30"/>
  <c r="M3" i="28"/>
  <c r="M4" i="28"/>
  <c r="M2" i="28"/>
  <c r="H15" i="37" l="1"/>
  <c r="I239" i="1"/>
  <c r="J239" i="1" s="1"/>
  <c r="Q239" i="1" s="1"/>
  <c r="G15" i="37"/>
  <c r="G16" i="37" s="1"/>
  <c r="I260" i="1"/>
  <c r="I236" i="1"/>
  <c r="J236" i="1"/>
  <c r="J260" i="1"/>
  <c r="I242" i="1"/>
  <c r="J242" i="1" s="1"/>
  <c r="Q242" i="1" s="1"/>
  <c r="G12" i="36"/>
  <c r="H12" i="36" s="1"/>
  <c r="J250" i="1"/>
  <c r="I243" i="1"/>
  <c r="J243" i="1" s="1"/>
  <c r="Q243" i="1" s="1"/>
  <c r="G13" i="36"/>
  <c r="H13" i="36" s="1"/>
  <c r="I241" i="1"/>
  <c r="J241" i="1" s="1"/>
  <c r="Q241" i="1" s="1"/>
  <c r="G11" i="36"/>
  <c r="I250" i="1"/>
  <c r="I233" i="1"/>
  <c r="J233" i="1" s="1"/>
  <c r="Q233" i="1" s="1"/>
  <c r="G13" i="35"/>
  <c r="H13" i="35" s="1"/>
  <c r="I231" i="1"/>
  <c r="J231" i="1" s="1"/>
  <c r="Q231" i="1" s="1"/>
  <c r="G11" i="35"/>
  <c r="I262" i="1"/>
  <c r="J262" i="1" s="1"/>
  <c r="I256" i="1"/>
  <c r="J256" i="1" s="1"/>
  <c r="I252" i="1"/>
  <c r="J252" i="1" s="1"/>
  <c r="I246" i="1"/>
  <c r="J246" i="1" s="1"/>
  <c r="Q246" i="1" s="1"/>
  <c r="G15" i="34"/>
  <c r="H15" i="34" s="1"/>
  <c r="G13" i="34"/>
  <c r="G14" i="34"/>
  <c r="H14" i="34" s="1"/>
  <c r="F16" i="34"/>
  <c r="I232" i="1"/>
  <c r="J232" i="1" s="1"/>
  <c r="Q232" i="1" s="1"/>
  <c r="F13" i="32"/>
  <c r="Y46" i="31"/>
  <c r="W10" i="31"/>
  <c r="W46" i="31" s="1"/>
  <c r="AB46" i="31" s="1"/>
  <c r="V46" i="31"/>
  <c r="M4" i="30"/>
  <c r="F11" i="30" s="1"/>
  <c r="M3" i="30"/>
  <c r="F12" i="30" s="1"/>
  <c r="M2" i="30"/>
  <c r="E12" i="4"/>
  <c r="G12" i="4"/>
  <c r="U20" i="29"/>
  <c r="V20" i="29" s="1"/>
  <c r="W20" i="29" s="1"/>
  <c r="U21" i="29"/>
  <c r="V21" i="29" s="1"/>
  <c r="W21" i="29" s="1"/>
  <c r="U22" i="29"/>
  <c r="V22" i="29"/>
  <c r="W22" i="29"/>
  <c r="U23" i="29"/>
  <c r="V23" i="29"/>
  <c r="W23" i="29" s="1"/>
  <c r="U24" i="29"/>
  <c r="V24" i="29" s="1"/>
  <c r="W24" i="29" s="1"/>
  <c r="U25" i="29"/>
  <c r="V25" i="29"/>
  <c r="W25" i="29" s="1"/>
  <c r="U26" i="29"/>
  <c r="V26" i="29" s="1"/>
  <c r="W26" i="29" s="1"/>
  <c r="U27" i="29"/>
  <c r="V27" i="29"/>
  <c r="W27" i="29"/>
  <c r="U28" i="29"/>
  <c r="V28" i="29" s="1"/>
  <c r="W28" i="29" s="1"/>
  <c r="U29" i="29"/>
  <c r="V29" i="29" s="1"/>
  <c r="W29" i="29" s="1"/>
  <c r="U30" i="29"/>
  <c r="V30" i="29"/>
  <c r="W30" i="29"/>
  <c r="G14" i="36" l="1"/>
  <c r="G15" i="36" s="1"/>
  <c r="H11" i="36"/>
  <c r="H14" i="36" s="1"/>
  <c r="G14" i="35"/>
  <c r="G15" i="35" s="1"/>
  <c r="H11" i="35"/>
  <c r="H14" i="35" s="1"/>
  <c r="G16" i="34"/>
  <c r="G17" i="34" s="1"/>
  <c r="H13" i="34"/>
  <c r="H16" i="34" s="1"/>
  <c r="F13" i="30"/>
  <c r="Z46" i="29"/>
  <c r="S46" i="29"/>
  <c r="R46" i="29"/>
  <c r="P46" i="29"/>
  <c r="O46" i="29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9" i="29"/>
  <c r="Y28" i="29"/>
  <c r="Y27" i="29"/>
  <c r="Y26" i="29"/>
  <c r="Y25" i="29"/>
  <c r="Y24" i="29"/>
  <c r="Y23" i="29"/>
  <c r="Y22" i="29"/>
  <c r="Y21" i="29"/>
  <c r="Y20" i="29"/>
  <c r="Y19" i="29"/>
  <c r="U19" i="29"/>
  <c r="V19" i="29" s="1"/>
  <c r="W19" i="29" s="1"/>
  <c r="Y18" i="29"/>
  <c r="U18" i="29"/>
  <c r="V18" i="29" s="1"/>
  <c r="W18" i="29" s="1"/>
  <c r="Y17" i="29"/>
  <c r="U17" i="29"/>
  <c r="V17" i="29" s="1"/>
  <c r="W17" i="29" s="1"/>
  <c r="Y16" i="29"/>
  <c r="U16" i="29"/>
  <c r="V16" i="29" s="1"/>
  <c r="W16" i="29" s="1"/>
  <c r="Y15" i="29"/>
  <c r="U15" i="29"/>
  <c r="V15" i="29" s="1"/>
  <c r="W15" i="29" s="1"/>
  <c r="Y14" i="29"/>
  <c r="U14" i="29"/>
  <c r="V14" i="29" s="1"/>
  <c r="W14" i="29" s="1"/>
  <c r="Y13" i="29"/>
  <c r="U13" i="29"/>
  <c r="V13" i="29" s="1"/>
  <c r="W13" i="29" s="1"/>
  <c r="Y12" i="29"/>
  <c r="U12" i="29"/>
  <c r="V12" i="29" s="1"/>
  <c r="W12" i="29" s="1"/>
  <c r="Y11" i="29"/>
  <c r="U11" i="29"/>
  <c r="V11" i="29" s="1"/>
  <c r="W11" i="29" s="1"/>
  <c r="Y10" i="29"/>
  <c r="U10" i="29"/>
  <c r="V10" i="29" s="1"/>
  <c r="H206" i="1"/>
  <c r="H207" i="1"/>
  <c r="H205" i="1"/>
  <c r="L207" i="1"/>
  <c r="L206" i="1"/>
  <c r="L205" i="1"/>
  <c r="P204" i="1"/>
  <c r="L204" i="1"/>
  <c r="I204" i="1"/>
  <c r="J204" i="1" s="1"/>
  <c r="I195" i="1"/>
  <c r="J195" i="1" s="1"/>
  <c r="H222" i="1"/>
  <c r="I222" i="1" s="1"/>
  <c r="J222" i="1" s="1"/>
  <c r="H223" i="1"/>
  <c r="I223" i="1" s="1"/>
  <c r="J223" i="1" s="1"/>
  <c r="H221" i="1"/>
  <c r="I221" i="1" s="1"/>
  <c r="J221" i="1" s="1"/>
  <c r="H218" i="1"/>
  <c r="I218" i="1" s="1"/>
  <c r="J218" i="1" s="1"/>
  <c r="H219" i="1"/>
  <c r="I219" i="1" s="1"/>
  <c r="J219" i="1" s="1"/>
  <c r="H217" i="1"/>
  <c r="I217" i="1" s="1"/>
  <c r="J217" i="1" s="1"/>
  <c r="L223" i="1"/>
  <c r="L222" i="1"/>
  <c r="L221" i="1"/>
  <c r="P220" i="1"/>
  <c r="L220" i="1"/>
  <c r="I220" i="1"/>
  <c r="J220" i="1" s="1"/>
  <c r="L219" i="1"/>
  <c r="L218" i="1"/>
  <c r="L217" i="1"/>
  <c r="P216" i="1"/>
  <c r="L216" i="1"/>
  <c r="I216" i="1"/>
  <c r="J216" i="1" s="1"/>
  <c r="H214" i="1"/>
  <c r="H215" i="1"/>
  <c r="H213" i="1"/>
  <c r="L215" i="1"/>
  <c r="L214" i="1"/>
  <c r="L213" i="1"/>
  <c r="P212" i="1"/>
  <c r="L212" i="1"/>
  <c r="I212" i="1"/>
  <c r="J212" i="1" s="1"/>
  <c r="H210" i="1"/>
  <c r="H211" i="1"/>
  <c r="I211" i="1" s="1"/>
  <c r="J211" i="1" s="1"/>
  <c r="H209" i="1"/>
  <c r="I209" i="1" s="1"/>
  <c r="J209" i="1" s="1"/>
  <c r="H202" i="1"/>
  <c r="H203" i="1"/>
  <c r="I203" i="1" s="1"/>
  <c r="J203" i="1" s="1"/>
  <c r="H201" i="1"/>
  <c r="I201" i="1" s="1"/>
  <c r="J201" i="1" s="1"/>
  <c r="L211" i="1"/>
  <c r="L210" i="1"/>
  <c r="L209" i="1"/>
  <c r="P208" i="1"/>
  <c r="L208" i="1"/>
  <c r="I208" i="1"/>
  <c r="J208" i="1" s="1"/>
  <c r="L203" i="1"/>
  <c r="L202" i="1"/>
  <c r="L201" i="1"/>
  <c r="P200" i="1"/>
  <c r="L200" i="1"/>
  <c r="I200" i="1"/>
  <c r="J200" i="1" s="1"/>
  <c r="I215" i="1" l="1"/>
  <c r="J215" i="1" s="1"/>
  <c r="G12" i="32"/>
  <c r="H12" i="32" s="1"/>
  <c r="I213" i="1"/>
  <c r="J213" i="1" s="1"/>
  <c r="G10" i="32"/>
  <c r="H10" i="32" s="1"/>
  <c r="G11" i="32"/>
  <c r="G11" i="30"/>
  <c r="I207" i="1"/>
  <c r="J207" i="1" s="1"/>
  <c r="G12" i="30"/>
  <c r="I205" i="1"/>
  <c r="J205" i="1" s="1"/>
  <c r="G10" i="30"/>
  <c r="Y46" i="29"/>
  <c r="AA46" i="29" s="1"/>
  <c r="W10" i="29"/>
  <c r="W46" i="29" s="1"/>
  <c r="AB46" i="29" s="1"/>
  <c r="V46" i="29"/>
  <c r="I206" i="1"/>
  <c r="J206" i="1" s="1"/>
  <c r="I214" i="1"/>
  <c r="J214" i="1" s="1"/>
  <c r="I210" i="1"/>
  <c r="J210" i="1" s="1"/>
  <c r="I202" i="1"/>
  <c r="J202" i="1" s="1"/>
  <c r="F10" i="28"/>
  <c r="F12" i="28"/>
  <c r="F11" i="28"/>
  <c r="L170" i="1"/>
  <c r="H170" i="1"/>
  <c r="G13" i="32" l="1"/>
  <c r="G14" i="32" s="1"/>
  <c r="H11" i="32"/>
  <c r="H13" i="32" s="1"/>
  <c r="F13" i="28"/>
  <c r="P171" i="1" l="1"/>
  <c r="H171" i="1"/>
  <c r="P170" i="1"/>
  <c r="I170" i="1"/>
  <c r="H189" i="1"/>
  <c r="H190" i="1"/>
  <c r="I190" i="1" s="1"/>
  <c r="J190" i="1" s="1"/>
  <c r="H188" i="1"/>
  <c r="I188" i="1" s="1"/>
  <c r="J188" i="1" s="1"/>
  <c r="L190" i="1"/>
  <c r="L189" i="1"/>
  <c r="L188" i="1"/>
  <c r="P187" i="1"/>
  <c r="L187" i="1"/>
  <c r="I187" i="1"/>
  <c r="J187" i="1" s="1"/>
  <c r="D12" i="27"/>
  <c r="D11" i="27"/>
  <c r="D10" i="27"/>
  <c r="M4" i="27"/>
  <c r="F11" i="27" s="1"/>
  <c r="M3" i="27"/>
  <c r="G12" i="27" s="1"/>
  <c r="M2" i="27"/>
  <c r="G10" i="27" s="1"/>
  <c r="G12" i="26"/>
  <c r="G11" i="26"/>
  <c r="G10" i="26"/>
  <c r="G13" i="26"/>
  <c r="M4" i="26"/>
  <c r="F11" i="26" s="1"/>
  <c r="M3" i="26"/>
  <c r="F12" i="26" s="1"/>
  <c r="M2" i="26"/>
  <c r="F10" i="26" s="1"/>
  <c r="H198" i="1"/>
  <c r="H199" i="1"/>
  <c r="H197" i="1"/>
  <c r="G10" i="28" s="1"/>
  <c r="H193" i="1"/>
  <c r="I193" i="1" s="1"/>
  <c r="J193" i="1" s="1"/>
  <c r="H194" i="1"/>
  <c r="I194" i="1" s="1"/>
  <c r="H192" i="1"/>
  <c r="I192" i="1" s="1"/>
  <c r="L199" i="1"/>
  <c r="L198" i="1"/>
  <c r="L197" i="1"/>
  <c r="P196" i="1"/>
  <c r="L196" i="1"/>
  <c r="I196" i="1"/>
  <c r="J196" i="1" s="1"/>
  <c r="L194" i="1"/>
  <c r="L193" i="1"/>
  <c r="L192" i="1"/>
  <c r="P191" i="1"/>
  <c r="L191" i="1"/>
  <c r="I191" i="1"/>
  <c r="J191" i="1" s="1"/>
  <c r="H185" i="1"/>
  <c r="H11" i="30" s="1"/>
  <c r="H186" i="1"/>
  <c r="H184" i="1"/>
  <c r="H181" i="1"/>
  <c r="I181" i="1" s="1"/>
  <c r="J181" i="1" s="1"/>
  <c r="H182" i="1"/>
  <c r="I182" i="1" s="1"/>
  <c r="J182" i="1" s="1"/>
  <c r="H180" i="1"/>
  <c r="I180" i="1" s="1"/>
  <c r="J180" i="1" s="1"/>
  <c r="L186" i="1"/>
  <c r="L185" i="1"/>
  <c r="L184" i="1"/>
  <c r="P183" i="1"/>
  <c r="L183" i="1"/>
  <c r="I183" i="1"/>
  <c r="J183" i="1" s="1"/>
  <c r="L182" i="1"/>
  <c r="L181" i="1"/>
  <c r="L180" i="1"/>
  <c r="P179" i="1"/>
  <c r="L179" i="1"/>
  <c r="I179" i="1"/>
  <c r="J179" i="1" s="1"/>
  <c r="E11" i="25"/>
  <c r="E12" i="25" s="1"/>
  <c r="M4" i="25"/>
  <c r="F11" i="25" s="1"/>
  <c r="M3" i="25"/>
  <c r="F12" i="25" s="1"/>
  <c r="M2" i="25"/>
  <c r="F10" i="25" s="1"/>
  <c r="I143" i="1"/>
  <c r="J143" i="1" s="1"/>
  <c r="G11" i="4"/>
  <c r="E11" i="4"/>
  <c r="U15" i="24"/>
  <c r="V15" i="24"/>
  <c r="W15" i="24"/>
  <c r="U16" i="24"/>
  <c r="V16" i="24" s="1"/>
  <c r="W16" i="24" s="1"/>
  <c r="U17" i="24"/>
  <c r="V17" i="24"/>
  <c r="W17" i="24"/>
  <c r="U18" i="24"/>
  <c r="V18" i="24"/>
  <c r="W18" i="24"/>
  <c r="U19" i="24"/>
  <c r="V19" i="24"/>
  <c r="W19" i="24"/>
  <c r="Z46" i="24"/>
  <c r="S46" i="24"/>
  <c r="R46" i="24"/>
  <c r="P46" i="24"/>
  <c r="O46" i="24"/>
  <c r="Y44" i="24"/>
  <c r="Y43" i="24"/>
  <c r="Y42" i="24"/>
  <c r="Y41" i="24"/>
  <c r="Y40" i="24"/>
  <c r="Y39" i="24"/>
  <c r="Y38" i="24"/>
  <c r="Y37" i="24"/>
  <c r="Y36" i="24"/>
  <c r="Y35" i="24"/>
  <c r="Y34" i="24"/>
  <c r="Y33" i="24"/>
  <c r="Y32" i="24"/>
  <c r="Y31" i="24"/>
  <c r="Y30" i="24"/>
  <c r="Y29" i="24"/>
  <c r="Y28" i="24"/>
  <c r="Y27" i="24"/>
  <c r="Y26" i="24"/>
  <c r="Y25" i="24"/>
  <c r="Y24" i="24"/>
  <c r="Y23" i="24"/>
  <c r="Y22" i="24"/>
  <c r="Y21" i="24"/>
  <c r="Y20" i="24"/>
  <c r="Y19" i="24"/>
  <c r="Y18" i="24"/>
  <c r="Y17" i="24"/>
  <c r="Y16" i="24"/>
  <c r="Y15" i="24"/>
  <c r="Y14" i="24"/>
  <c r="U14" i="24"/>
  <c r="V14" i="24" s="1"/>
  <c r="W14" i="24" s="1"/>
  <c r="Y13" i="24"/>
  <c r="U13" i="24"/>
  <c r="V13" i="24" s="1"/>
  <c r="W13" i="24" s="1"/>
  <c r="Y12" i="24"/>
  <c r="U12" i="24"/>
  <c r="V12" i="24" s="1"/>
  <c r="W12" i="24" s="1"/>
  <c r="Y11" i="24"/>
  <c r="U11" i="24"/>
  <c r="V11" i="24" s="1"/>
  <c r="W11" i="24" s="1"/>
  <c r="Y10" i="24"/>
  <c r="U10" i="24"/>
  <c r="V10" i="24" s="1"/>
  <c r="H154" i="1"/>
  <c r="H155" i="1"/>
  <c r="I155" i="1" s="1"/>
  <c r="J155" i="1" s="1"/>
  <c r="H153" i="1"/>
  <c r="I153" i="1" s="1"/>
  <c r="J153" i="1" s="1"/>
  <c r="L155" i="1"/>
  <c r="L154" i="1"/>
  <c r="L153" i="1"/>
  <c r="P152" i="1"/>
  <c r="L152" i="1"/>
  <c r="I152" i="1"/>
  <c r="J152" i="1" s="1"/>
  <c r="H12" i="30" l="1"/>
  <c r="I198" i="1"/>
  <c r="J198" i="1" s="1"/>
  <c r="G11" i="28"/>
  <c r="H11" i="28" s="1"/>
  <c r="I199" i="1"/>
  <c r="J199" i="1" s="1"/>
  <c r="G12" i="28"/>
  <c r="H12" i="28" s="1"/>
  <c r="I184" i="1"/>
  <c r="J184" i="1" s="1"/>
  <c r="I186" i="1"/>
  <c r="J186" i="1" s="1"/>
  <c r="I185" i="1"/>
  <c r="J185" i="1" s="1"/>
  <c r="J170" i="1"/>
  <c r="I189" i="1"/>
  <c r="J189" i="1" s="1"/>
  <c r="G11" i="27"/>
  <c r="G13" i="27" s="1"/>
  <c r="H11" i="27"/>
  <c r="F12" i="27"/>
  <c r="H12" i="27" s="1"/>
  <c r="F10" i="27"/>
  <c r="H12" i="26"/>
  <c r="F13" i="26"/>
  <c r="G14" i="26" s="1"/>
  <c r="H11" i="26"/>
  <c r="H10" i="26"/>
  <c r="I197" i="1"/>
  <c r="J197" i="1" s="1"/>
  <c r="J192" i="1"/>
  <c r="J194" i="1"/>
  <c r="F13" i="25"/>
  <c r="Y46" i="24"/>
  <c r="AA46" i="24" s="1"/>
  <c r="W10" i="24"/>
  <c r="W46" i="24" s="1"/>
  <c r="AB46" i="24" s="1"/>
  <c r="V46" i="24"/>
  <c r="I154" i="1"/>
  <c r="J154" i="1" s="1"/>
  <c r="G13" i="30" l="1"/>
  <c r="G14" i="30" s="1"/>
  <c r="H10" i="30"/>
  <c r="H13" i="30" s="1"/>
  <c r="G13" i="28"/>
  <c r="G14" i="28" s="1"/>
  <c r="H10" i="28"/>
  <c r="H13" i="28" s="1"/>
  <c r="F13" i="27"/>
  <c r="G14" i="27" s="1"/>
  <c r="H10" i="27"/>
  <c r="H13" i="27" s="1"/>
  <c r="H13" i="26"/>
  <c r="I160" i="1"/>
  <c r="J160" i="1" s="1"/>
  <c r="G13" i="23"/>
  <c r="E11" i="23"/>
  <c r="E12" i="23" s="1"/>
  <c r="M4" i="23"/>
  <c r="F11" i="23" s="1"/>
  <c r="M3" i="23"/>
  <c r="F12" i="23" s="1"/>
  <c r="H12" i="23" s="1"/>
  <c r="M2" i="23"/>
  <c r="F10" i="23" s="1"/>
  <c r="H10" i="23" s="1"/>
  <c r="H177" i="1"/>
  <c r="I177" i="1" s="1"/>
  <c r="J177" i="1" s="1"/>
  <c r="H178" i="1"/>
  <c r="H176" i="1"/>
  <c r="H173" i="1"/>
  <c r="H174" i="1"/>
  <c r="H172" i="1"/>
  <c r="L178" i="1"/>
  <c r="L177" i="1"/>
  <c r="L176" i="1"/>
  <c r="P175" i="1"/>
  <c r="L175" i="1"/>
  <c r="I175" i="1"/>
  <c r="J175" i="1" s="1"/>
  <c r="L174" i="1"/>
  <c r="L173" i="1"/>
  <c r="L172" i="1"/>
  <c r="P169" i="1"/>
  <c r="L169" i="1"/>
  <c r="I169" i="1"/>
  <c r="H167" i="1"/>
  <c r="I167" i="1" s="1"/>
  <c r="J167" i="1" s="1"/>
  <c r="H168" i="1"/>
  <c r="H166" i="1"/>
  <c r="L168" i="1"/>
  <c r="L167" i="1"/>
  <c r="L166" i="1"/>
  <c r="P165" i="1"/>
  <c r="L165" i="1"/>
  <c r="I165" i="1"/>
  <c r="J165" i="1" s="1"/>
  <c r="H163" i="1"/>
  <c r="I163" i="1" s="1"/>
  <c r="J163" i="1" s="1"/>
  <c r="H164" i="1"/>
  <c r="I164" i="1" s="1"/>
  <c r="J164" i="1" s="1"/>
  <c r="H162" i="1"/>
  <c r="L164" i="1"/>
  <c r="L163" i="1"/>
  <c r="L162" i="1"/>
  <c r="P161" i="1"/>
  <c r="L161" i="1"/>
  <c r="I161" i="1"/>
  <c r="J161" i="1" s="1"/>
  <c r="Q161" i="1" s="1"/>
  <c r="I144" i="1"/>
  <c r="J144" i="1" s="1"/>
  <c r="I142" i="1"/>
  <c r="J142" i="1" s="1"/>
  <c r="G10" i="4"/>
  <c r="E10" i="4"/>
  <c r="Z46" i="22"/>
  <c r="S46" i="22"/>
  <c r="R46" i="22"/>
  <c r="P46" i="22"/>
  <c r="O46" i="22"/>
  <c r="Y44" i="22"/>
  <c r="Y43" i="22"/>
  <c r="Y42" i="22"/>
  <c r="Y41" i="22"/>
  <c r="Y40" i="22"/>
  <c r="Y39" i="22"/>
  <c r="Y38" i="22"/>
  <c r="Y37" i="22"/>
  <c r="Y36" i="22"/>
  <c r="Y35" i="22"/>
  <c r="Y34" i="22"/>
  <c r="Y33" i="22"/>
  <c r="Y32" i="22"/>
  <c r="Y31" i="22"/>
  <c r="Y30" i="22"/>
  <c r="Y29" i="22"/>
  <c r="Y28" i="22"/>
  <c r="Y27" i="22"/>
  <c r="Y26" i="22"/>
  <c r="Y25" i="22"/>
  <c r="Y24" i="22"/>
  <c r="Y23" i="22"/>
  <c r="Y22" i="22"/>
  <c r="Y21" i="22"/>
  <c r="Y20" i="22"/>
  <c r="Y19" i="22"/>
  <c r="Y18" i="22"/>
  <c r="Y17" i="22"/>
  <c r="Y16" i="22"/>
  <c r="Y15" i="22"/>
  <c r="Y14" i="22"/>
  <c r="U14" i="22"/>
  <c r="V14" i="22" s="1"/>
  <c r="W14" i="22" s="1"/>
  <c r="Y13" i="22"/>
  <c r="U13" i="22"/>
  <c r="V13" i="22" s="1"/>
  <c r="W13" i="22" s="1"/>
  <c r="Y12" i="22"/>
  <c r="U12" i="22"/>
  <c r="V12" i="22" s="1"/>
  <c r="W12" i="22" s="1"/>
  <c r="Y11" i="22"/>
  <c r="V11" i="22"/>
  <c r="W11" i="22" s="1"/>
  <c r="U11" i="22"/>
  <c r="Y10" i="22"/>
  <c r="U10" i="22"/>
  <c r="V10" i="22" s="1"/>
  <c r="J169" i="1" l="1"/>
  <c r="J171" i="1" s="1"/>
  <c r="I171" i="1"/>
  <c r="F13" i="23"/>
  <c r="G14" i="23" s="1"/>
  <c r="H11" i="23"/>
  <c r="H13" i="23" s="1"/>
  <c r="I176" i="1"/>
  <c r="J176" i="1" s="1"/>
  <c r="I178" i="1"/>
  <c r="J178" i="1" s="1"/>
  <c r="I174" i="1"/>
  <c r="J174" i="1" s="1"/>
  <c r="I173" i="1"/>
  <c r="J173" i="1" s="1"/>
  <c r="I172" i="1"/>
  <c r="J172" i="1" s="1"/>
  <c r="I166" i="1"/>
  <c r="J166" i="1" s="1"/>
  <c r="I168" i="1"/>
  <c r="J168" i="1" s="1"/>
  <c r="I162" i="1"/>
  <c r="J162" i="1" s="1"/>
  <c r="Y46" i="22"/>
  <c r="AA46" i="22" s="1"/>
  <c r="W10" i="22"/>
  <c r="W46" i="22" s="1"/>
  <c r="AB46" i="22" s="1"/>
  <c r="V46" i="22"/>
  <c r="H136" i="1" l="1"/>
  <c r="H137" i="1"/>
  <c r="I137" i="1" s="1"/>
  <c r="J137" i="1" s="1"/>
  <c r="H135" i="1"/>
  <c r="I135" i="1" s="1"/>
  <c r="J135" i="1" s="1"/>
  <c r="L137" i="1"/>
  <c r="L136" i="1"/>
  <c r="L135" i="1"/>
  <c r="P134" i="1"/>
  <c r="L134" i="1"/>
  <c r="I134" i="1"/>
  <c r="J134" i="1" s="1"/>
  <c r="H158" i="1"/>
  <c r="I158" i="1" s="1"/>
  <c r="J158" i="1" s="1"/>
  <c r="H159" i="1"/>
  <c r="H157" i="1"/>
  <c r="I157" i="1" s="1"/>
  <c r="H150" i="1"/>
  <c r="I150" i="1" s="1"/>
  <c r="J150" i="1" s="1"/>
  <c r="H151" i="1"/>
  <c r="H149" i="1"/>
  <c r="L159" i="1"/>
  <c r="L158" i="1"/>
  <c r="L157" i="1"/>
  <c r="P156" i="1"/>
  <c r="L156" i="1"/>
  <c r="I156" i="1"/>
  <c r="J156" i="1" s="1"/>
  <c r="L151" i="1"/>
  <c r="L150" i="1"/>
  <c r="L149" i="1"/>
  <c r="P148" i="1"/>
  <c r="L148" i="1"/>
  <c r="I148" i="1"/>
  <c r="J148" i="1" s="1"/>
  <c r="E12" i="21"/>
  <c r="E11" i="21"/>
  <c r="G13" i="21"/>
  <c r="M4" i="21"/>
  <c r="F11" i="21" s="1"/>
  <c r="M3" i="21"/>
  <c r="F12" i="21" s="1"/>
  <c r="M2" i="21"/>
  <c r="F10" i="21" s="1"/>
  <c r="G9" i="4"/>
  <c r="E9" i="4"/>
  <c r="Z46" i="20"/>
  <c r="S46" i="20"/>
  <c r="R46" i="20"/>
  <c r="P46" i="20"/>
  <c r="O46" i="20"/>
  <c r="Y44" i="20"/>
  <c r="Y43" i="20"/>
  <c r="Y42" i="20"/>
  <c r="Y41" i="20"/>
  <c r="Y40" i="20"/>
  <c r="Y39" i="20"/>
  <c r="Y38" i="20"/>
  <c r="Y37" i="20"/>
  <c r="Y36" i="20"/>
  <c r="Y35" i="20"/>
  <c r="Y34" i="20"/>
  <c r="Y33" i="20"/>
  <c r="Y32" i="20"/>
  <c r="Y31" i="20"/>
  <c r="Y30" i="20"/>
  <c r="Y29" i="20"/>
  <c r="Y28" i="20"/>
  <c r="Y27" i="20"/>
  <c r="Y26" i="20"/>
  <c r="Y25" i="20"/>
  <c r="Y24" i="20"/>
  <c r="Y23" i="20"/>
  <c r="Y22" i="20"/>
  <c r="Y21" i="20"/>
  <c r="Y20" i="20"/>
  <c r="Y19" i="20"/>
  <c r="Y18" i="20"/>
  <c r="Y17" i="20"/>
  <c r="Y16" i="20"/>
  <c r="Y15" i="20"/>
  <c r="Y14" i="20"/>
  <c r="U14" i="20"/>
  <c r="V14" i="20" s="1"/>
  <c r="W14" i="20" s="1"/>
  <c r="Y13" i="20"/>
  <c r="U13" i="20"/>
  <c r="V13" i="20" s="1"/>
  <c r="W13" i="20" s="1"/>
  <c r="Y12" i="20"/>
  <c r="U12" i="20"/>
  <c r="V12" i="20" s="1"/>
  <c r="W12" i="20" s="1"/>
  <c r="Y11" i="20"/>
  <c r="U11" i="20"/>
  <c r="V11" i="20" s="1"/>
  <c r="W11" i="20" s="1"/>
  <c r="Y10" i="20"/>
  <c r="U10" i="20"/>
  <c r="V10" i="20" s="1"/>
  <c r="F10" i="19"/>
  <c r="E12" i="19"/>
  <c r="E11" i="19"/>
  <c r="M4" i="19"/>
  <c r="F11" i="19" s="1"/>
  <c r="M3" i="19"/>
  <c r="F12" i="19" s="1"/>
  <c r="M2" i="19"/>
  <c r="G8" i="4"/>
  <c r="E8" i="4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U16" i="18"/>
  <c r="U17" i="18"/>
  <c r="V17" i="18" s="1"/>
  <c r="W17" i="18" s="1"/>
  <c r="U18" i="18"/>
  <c r="V18" i="18" s="1"/>
  <c r="W18" i="18" s="1"/>
  <c r="U19" i="18"/>
  <c r="V19" i="18" s="1"/>
  <c r="W19" i="18" s="1"/>
  <c r="U20" i="18"/>
  <c r="V20" i="18" s="1"/>
  <c r="W20" i="18" s="1"/>
  <c r="U21" i="18"/>
  <c r="U22" i="18"/>
  <c r="U23" i="18"/>
  <c r="V23" i="18" s="1"/>
  <c r="W23" i="18" s="1"/>
  <c r="U24" i="18"/>
  <c r="U25" i="18"/>
  <c r="V25" i="18" s="1"/>
  <c r="W25" i="18" s="1"/>
  <c r="U26" i="18"/>
  <c r="V26" i="18" s="1"/>
  <c r="W26" i="18" s="1"/>
  <c r="U27" i="18"/>
  <c r="V27" i="18" s="1"/>
  <c r="W27" i="18" s="1"/>
  <c r="U28" i="18"/>
  <c r="V28" i="18" s="1"/>
  <c r="W28" i="18" s="1"/>
  <c r="U29" i="18"/>
  <c r="U30" i="18"/>
  <c r="U31" i="18"/>
  <c r="V31" i="18" s="1"/>
  <c r="W31" i="18" s="1"/>
  <c r="U32" i="18"/>
  <c r="U33" i="18"/>
  <c r="V33" i="18" s="1"/>
  <c r="W33" i="18" s="1"/>
  <c r="U34" i="18"/>
  <c r="V34" i="18" s="1"/>
  <c r="W34" i="18" s="1"/>
  <c r="U35" i="18"/>
  <c r="V35" i="18" s="1"/>
  <c r="W35" i="18" s="1"/>
  <c r="U36" i="18"/>
  <c r="V36" i="18" s="1"/>
  <c r="W36" i="18" s="1"/>
  <c r="U37" i="18"/>
  <c r="U38" i="18"/>
  <c r="V38" i="18" s="1"/>
  <c r="W38" i="18" s="1"/>
  <c r="U39" i="18"/>
  <c r="V15" i="18"/>
  <c r="W15" i="18"/>
  <c r="V16" i="18"/>
  <c r="W16" i="18"/>
  <c r="V21" i="18"/>
  <c r="W21" i="18"/>
  <c r="V22" i="18"/>
  <c r="W22" i="18" s="1"/>
  <c r="V24" i="18"/>
  <c r="W24" i="18"/>
  <c r="V29" i="18"/>
  <c r="W29" i="18"/>
  <c r="V30" i="18"/>
  <c r="W30" i="18" s="1"/>
  <c r="V32" i="18"/>
  <c r="W32" i="18"/>
  <c r="V37" i="18"/>
  <c r="W37" i="18"/>
  <c r="Z46" i="18"/>
  <c r="S46" i="18"/>
  <c r="R46" i="18"/>
  <c r="P46" i="18"/>
  <c r="O46" i="18"/>
  <c r="Y44" i="18"/>
  <c r="Y43" i="18"/>
  <c r="Y42" i="18"/>
  <c r="Y41" i="18"/>
  <c r="Y40" i="18"/>
  <c r="V39" i="18"/>
  <c r="W39" i="18" s="1"/>
  <c r="Y15" i="18"/>
  <c r="U15" i="18"/>
  <c r="Y14" i="18"/>
  <c r="U14" i="18"/>
  <c r="V14" i="18" s="1"/>
  <c r="W14" i="18" s="1"/>
  <c r="Y13" i="18"/>
  <c r="U13" i="18"/>
  <c r="V13" i="18" s="1"/>
  <c r="W13" i="18" s="1"/>
  <c r="Y12" i="18"/>
  <c r="U12" i="18"/>
  <c r="V12" i="18" s="1"/>
  <c r="W12" i="18" s="1"/>
  <c r="Y11" i="18"/>
  <c r="U11" i="18"/>
  <c r="V11" i="18" s="1"/>
  <c r="W11" i="18" s="1"/>
  <c r="Y10" i="18"/>
  <c r="U10" i="18"/>
  <c r="V10" i="18" s="1"/>
  <c r="W10" i="18" s="1"/>
  <c r="L116" i="1"/>
  <c r="H146" i="1"/>
  <c r="H147" i="1"/>
  <c r="H145" i="1"/>
  <c r="H140" i="1"/>
  <c r="H141" i="1"/>
  <c r="I141" i="1" s="1"/>
  <c r="J141" i="1" s="1"/>
  <c r="H139" i="1"/>
  <c r="H132" i="1"/>
  <c r="H133" i="1"/>
  <c r="I133" i="1" s="1"/>
  <c r="J133" i="1" s="1"/>
  <c r="H131" i="1"/>
  <c r="I131" i="1" s="1"/>
  <c r="J131" i="1" s="1"/>
  <c r="H128" i="1"/>
  <c r="H129" i="1"/>
  <c r="I129" i="1" s="1"/>
  <c r="J129" i="1" s="1"/>
  <c r="H127" i="1"/>
  <c r="I127" i="1" s="1"/>
  <c r="J127" i="1" s="1"/>
  <c r="H117" i="1"/>
  <c r="H118" i="1" s="1"/>
  <c r="H119" i="1" s="1"/>
  <c r="I119" i="1" s="1"/>
  <c r="P121" i="1"/>
  <c r="L121" i="1"/>
  <c r="P120" i="1"/>
  <c r="L120" i="1"/>
  <c r="P119" i="1"/>
  <c r="L119" i="1"/>
  <c r="P118" i="1"/>
  <c r="P117" i="1"/>
  <c r="P116" i="1"/>
  <c r="I116" i="1"/>
  <c r="J116" i="1" s="1"/>
  <c r="A116" i="1"/>
  <c r="H111" i="1"/>
  <c r="H112" i="1" s="1"/>
  <c r="H114" i="1" s="1"/>
  <c r="I114" i="1" s="1"/>
  <c r="L147" i="1"/>
  <c r="L146" i="1"/>
  <c r="L145" i="1"/>
  <c r="P144" i="1"/>
  <c r="L144" i="1"/>
  <c r="L141" i="1"/>
  <c r="L140" i="1"/>
  <c r="L139" i="1"/>
  <c r="P138" i="1"/>
  <c r="L138" i="1"/>
  <c r="I138" i="1"/>
  <c r="J138" i="1" s="1"/>
  <c r="L133" i="1"/>
  <c r="L132" i="1"/>
  <c r="L131" i="1"/>
  <c r="P130" i="1"/>
  <c r="L130" i="1"/>
  <c r="I130" i="1"/>
  <c r="J130" i="1" s="1"/>
  <c r="L129" i="1"/>
  <c r="L128" i="1"/>
  <c r="L127" i="1"/>
  <c r="P126" i="1"/>
  <c r="L126" i="1"/>
  <c r="I126" i="1"/>
  <c r="J126" i="1" s="1"/>
  <c r="P115" i="1"/>
  <c r="L115" i="1"/>
  <c r="P114" i="1"/>
  <c r="L114" i="1"/>
  <c r="P113" i="1"/>
  <c r="L113" i="1"/>
  <c r="P112" i="1"/>
  <c r="P111" i="1"/>
  <c r="P110" i="1"/>
  <c r="L110" i="1"/>
  <c r="I110" i="1"/>
  <c r="J110" i="1" s="1"/>
  <c r="A110" i="1"/>
  <c r="F11" i="16"/>
  <c r="F10" i="16"/>
  <c r="H124" i="1"/>
  <c r="I124" i="1" s="1"/>
  <c r="J124" i="1" s="1"/>
  <c r="H125" i="1"/>
  <c r="I125" i="1" s="1"/>
  <c r="J125" i="1" s="1"/>
  <c r="H123" i="1"/>
  <c r="I123" i="1" s="1"/>
  <c r="J123" i="1" s="1"/>
  <c r="L125" i="1"/>
  <c r="L124" i="1"/>
  <c r="L123" i="1"/>
  <c r="P122" i="1"/>
  <c r="L122" i="1"/>
  <c r="I122" i="1"/>
  <c r="J122" i="1" s="1"/>
  <c r="P76" i="1"/>
  <c r="P72" i="1"/>
  <c r="P68" i="1"/>
  <c r="P64" i="1"/>
  <c r="P60" i="1"/>
  <c r="P56" i="1"/>
  <c r="P52" i="1"/>
  <c r="P48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I145" i="1" l="1"/>
  <c r="J145" i="1" s="1"/>
  <c r="G10" i="25"/>
  <c r="G12" i="25"/>
  <c r="H12" i="25" s="1"/>
  <c r="G11" i="25"/>
  <c r="H11" i="25" s="1"/>
  <c r="I136" i="1"/>
  <c r="J136" i="1" s="1"/>
  <c r="I149" i="1"/>
  <c r="J149" i="1" s="1"/>
  <c r="I159" i="1"/>
  <c r="J159" i="1" s="1"/>
  <c r="I151" i="1"/>
  <c r="J151" i="1" s="1"/>
  <c r="J157" i="1"/>
  <c r="F13" i="21"/>
  <c r="G14" i="21" s="1"/>
  <c r="H11" i="21"/>
  <c r="H12" i="21"/>
  <c r="H10" i="21"/>
  <c r="Y46" i="20"/>
  <c r="AA46" i="20" s="1"/>
  <c r="W10" i="20"/>
  <c r="W46" i="20" s="1"/>
  <c r="AB46" i="20" s="1"/>
  <c r="V46" i="20"/>
  <c r="F13" i="19"/>
  <c r="H120" i="1"/>
  <c r="Y46" i="18"/>
  <c r="AA46" i="18" s="1"/>
  <c r="W46" i="18"/>
  <c r="AB46" i="18" s="1"/>
  <c r="V46" i="18"/>
  <c r="H113" i="1"/>
  <c r="H115" i="1"/>
  <c r="H121" i="1"/>
  <c r="I121" i="1" s="1"/>
  <c r="J121" i="1" s="1"/>
  <c r="J119" i="1"/>
  <c r="I117" i="1"/>
  <c r="I118" i="1" s="1"/>
  <c r="I139" i="1"/>
  <c r="J139" i="1" s="1"/>
  <c r="I147" i="1"/>
  <c r="J147" i="1" s="1"/>
  <c r="I140" i="1"/>
  <c r="J140" i="1" s="1"/>
  <c r="I146" i="1"/>
  <c r="J146" i="1" s="1"/>
  <c r="I128" i="1"/>
  <c r="J128" i="1" s="1"/>
  <c r="I132" i="1"/>
  <c r="J132" i="1" s="1"/>
  <c r="J114" i="1"/>
  <c r="I111" i="1"/>
  <c r="M4" i="16"/>
  <c r="M3" i="16"/>
  <c r="F12" i="16" s="1"/>
  <c r="M2" i="16"/>
  <c r="G13" i="25" l="1"/>
  <c r="G14" i="25" s="1"/>
  <c r="H10" i="25"/>
  <c r="H13" i="25" s="1"/>
  <c r="H13" i="21"/>
  <c r="I115" i="1"/>
  <c r="J115" i="1" s="1"/>
  <c r="G12" i="19"/>
  <c r="I113" i="1"/>
  <c r="J113" i="1" s="1"/>
  <c r="G10" i="19"/>
  <c r="I120" i="1"/>
  <c r="J120" i="1" s="1"/>
  <c r="G11" i="19"/>
  <c r="J117" i="1"/>
  <c r="J118" i="1" s="1"/>
  <c r="I112" i="1"/>
  <c r="J111" i="1"/>
  <c r="J112" i="1" s="1"/>
  <c r="F13" i="16"/>
  <c r="F13" i="15" l="1"/>
  <c r="F14" i="15"/>
  <c r="F12" i="15"/>
  <c r="H97" i="1" l="1"/>
  <c r="I97" i="1" s="1"/>
  <c r="J97" i="1" s="1"/>
  <c r="H96" i="1"/>
  <c r="I96" i="1" s="1"/>
  <c r="J96" i="1" s="1"/>
  <c r="M6" i="15"/>
  <c r="M5" i="15"/>
  <c r="M4" i="15"/>
  <c r="M3" i="15"/>
  <c r="M2" i="15"/>
  <c r="F12" i="13"/>
  <c r="F13" i="13"/>
  <c r="F14" i="13"/>
  <c r="F16" i="14"/>
  <c r="F15" i="14"/>
  <c r="F12" i="14"/>
  <c r="M6" i="14"/>
  <c r="M5" i="14"/>
  <c r="F13" i="14" s="1"/>
  <c r="M4" i="14"/>
  <c r="M3" i="14"/>
  <c r="F14" i="14" s="1"/>
  <c r="M2" i="14"/>
  <c r="M5" i="13"/>
  <c r="M6" i="13"/>
  <c r="H94" i="1"/>
  <c r="H95" i="1"/>
  <c r="H93" i="1"/>
  <c r="H100" i="1"/>
  <c r="H101" i="1"/>
  <c r="H99" i="1"/>
  <c r="H104" i="1"/>
  <c r="I104" i="1" s="1"/>
  <c r="J104" i="1" s="1"/>
  <c r="H105" i="1"/>
  <c r="I105" i="1" s="1"/>
  <c r="J105" i="1" s="1"/>
  <c r="H103" i="1"/>
  <c r="I103" i="1" s="1"/>
  <c r="J103" i="1" s="1"/>
  <c r="H108" i="1"/>
  <c r="H109" i="1"/>
  <c r="I109" i="1" s="1"/>
  <c r="J109" i="1" s="1"/>
  <c r="H107" i="1"/>
  <c r="I107" i="1" s="1"/>
  <c r="J107" i="1" s="1"/>
  <c r="L109" i="1"/>
  <c r="L108" i="1"/>
  <c r="L107" i="1"/>
  <c r="P106" i="1"/>
  <c r="L106" i="1"/>
  <c r="I106" i="1"/>
  <c r="J106" i="1" s="1"/>
  <c r="L105" i="1"/>
  <c r="L104" i="1"/>
  <c r="L103" i="1"/>
  <c r="P102" i="1"/>
  <c r="L102" i="1"/>
  <c r="I102" i="1"/>
  <c r="J102" i="1" s="1"/>
  <c r="L101" i="1"/>
  <c r="L100" i="1"/>
  <c r="L99" i="1"/>
  <c r="P98" i="1"/>
  <c r="L98" i="1"/>
  <c r="I98" i="1"/>
  <c r="J98" i="1" s="1"/>
  <c r="L95" i="1"/>
  <c r="L94" i="1"/>
  <c r="L93" i="1"/>
  <c r="P92" i="1"/>
  <c r="L92" i="1"/>
  <c r="I92" i="1"/>
  <c r="J92" i="1" s="1"/>
  <c r="M4" i="13"/>
  <c r="M3" i="13"/>
  <c r="M2" i="13"/>
  <c r="F12" i="12"/>
  <c r="F11" i="12"/>
  <c r="F13" i="12" s="1"/>
  <c r="M3" i="12"/>
  <c r="M2" i="12"/>
  <c r="F13" i="11"/>
  <c r="F12" i="11"/>
  <c r="F11" i="11"/>
  <c r="M3" i="11"/>
  <c r="M4" i="11"/>
  <c r="M2" i="11"/>
  <c r="H10" i="19" l="1"/>
  <c r="H12" i="19"/>
  <c r="H11" i="19"/>
  <c r="G11" i="16"/>
  <c r="H11" i="16" s="1"/>
  <c r="I99" i="1"/>
  <c r="J99" i="1" s="1"/>
  <c r="G10" i="16"/>
  <c r="I101" i="1"/>
  <c r="J101" i="1" s="1"/>
  <c r="G12" i="16"/>
  <c r="H12" i="16" s="1"/>
  <c r="I93" i="1"/>
  <c r="J93" i="1" s="1"/>
  <c r="G12" i="15"/>
  <c r="H12" i="15" s="1"/>
  <c r="I95" i="1"/>
  <c r="J95" i="1" s="1"/>
  <c r="G14" i="15"/>
  <c r="H14" i="15" s="1"/>
  <c r="I94" i="1"/>
  <c r="J94" i="1" s="1"/>
  <c r="G13" i="15"/>
  <c r="H13" i="15" s="1"/>
  <c r="F15" i="15"/>
  <c r="F17" i="14"/>
  <c r="I108" i="1"/>
  <c r="J108" i="1" s="1"/>
  <c r="I100" i="1"/>
  <c r="J100" i="1" s="1"/>
  <c r="F15" i="13"/>
  <c r="H90" i="1"/>
  <c r="G13" i="13" s="1"/>
  <c r="H13" i="13" s="1"/>
  <c r="H91" i="1"/>
  <c r="H89" i="1"/>
  <c r="G12" i="13" s="1"/>
  <c r="H86" i="1"/>
  <c r="H87" i="1"/>
  <c r="H85" i="1"/>
  <c r="H82" i="1"/>
  <c r="H83" i="1"/>
  <c r="H81" i="1"/>
  <c r="H78" i="1"/>
  <c r="G16" i="14" s="1"/>
  <c r="H16" i="14" s="1"/>
  <c r="H79" i="1"/>
  <c r="G13" i="14" s="1"/>
  <c r="H77" i="1"/>
  <c r="I77" i="1" s="1"/>
  <c r="J77" i="1" s="1"/>
  <c r="H74" i="1"/>
  <c r="I74" i="1" s="1"/>
  <c r="J74" i="1" s="1"/>
  <c r="H75" i="1"/>
  <c r="H73" i="1"/>
  <c r="H70" i="1"/>
  <c r="I70" i="1" s="1"/>
  <c r="J70" i="1" s="1"/>
  <c r="H71" i="1"/>
  <c r="I71" i="1" s="1"/>
  <c r="J71" i="1" s="1"/>
  <c r="H69" i="1"/>
  <c r="L91" i="1"/>
  <c r="L90" i="1"/>
  <c r="L89" i="1"/>
  <c r="P88" i="1"/>
  <c r="L88" i="1"/>
  <c r="I88" i="1"/>
  <c r="J88" i="1" s="1"/>
  <c r="L87" i="1"/>
  <c r="L86" i="1"/>
  <c r="L85" i="1"/>
  <c r="P84" i="1"/>
  <c r="L84" i="1"/>
  <c r="I84" i="1"/>
  <c r="J84" i="1" s="1"/>
  <c r="L83" i="1"/>
  <c r="L82" i="1"/>
  <c r="L81" i="1"/>
  <c r="P80" i="1"/>
  <c r="I80" i="1"/>
  <c r="J80" i="1" s="1"/>
  <c r="L79" i="1"/>
  <c r="L78" i="1"/>
  <c r="L77" i="1"/>
  <c r="L76" i="1"/>
  <c r="I76" i="1"/>
  <c r="J76" i="1" s="1"/>
  <c r="L75" i="1"/>
  <c r="L74" i="1"/>
  <c r="L73" i="1"/>
  <c r="L72" i="1"/>
  <c r="I72" i="1"/>
  <c r="J72" i="1" s="1"/>
  <c r="L71" i="1"/>
  <c r="L70" i="1"/>
  <c r="L69" i="1"/>
  <c r="L68" i="1"/>
  <c r="I68" i="1"/>
  <c r="J68" i="1" s="1"/>
  <c r="G7" i="4"/>
  <c r="E7" i="4"/>
  <c r="U11" i="10"/>
  <c r="U12" i="10"/>
  <c r="U13" i="10"/>
  <c r="U14" i="10"/>
  <c r="V14" i="10" s="1"/>
  <c r="W14" i="10" s="1"/>
  <c r="U15" i="10"/>
  <c r="V15" i="10"/>
  <c r="W15" i="10" s="1"/>
  <c r="Z24" i="10"/>
  <c r="S24" i="10"/>
  <c r="R24" i="10"/>
  <c r="P24" i="10"/>
  <c r="O24" i="10"/>
  <c r="Y22" i="10"/>
  <c r="Y21" i="10"/>
  <c r="Y20" i="10"/>
  <c r="Y19" i="10"/>
  <c r="Y18" i="10"/>
  <c r="V18" i="10"/>
  <c r="W18" i="10" s="1"/>
  <c r="Y17" i="10"/>
  <c r="V17" i="10"/>
  <c r="W17" i="10" s="1"/>
  <c r="Y16" i="10"/>
  <c r="W16" i="10"/>
  <c r="V16" i="10"/>
  <c r="Y15" i="10"/>
  <c r="Y14" i="10"/>
  <c r="Y13" i="10"/>
  <c r="V13" i="10"/>
  <c r="W13" i="10" s="1"/>
  <c r="Y12" i="10"/>
  <c r="V12" i="10"/>
  <c r="W12" i="10" s="1"/>
  <c r="Y11" i="10"/>
  <c r="V11" i="10"/>
  <c r="W11" i="10" s="1"/>
  <c r="Y10" i="10"/>
  <c r="U10" i="10"/>
  <c r="V10" i="10" s="1"/>
  <c r="H66" i="1"/>
  <c r="H67" i="1"/>
  <c r="H65" i="1"/>
  <c r="H62" i="1"/>
  <c r="H63" i="1"/>
  <c r="H61" i="1"/>
  <c r="I61" i="1" s="1"/>
  <c r="J61" i="1" s="1"/>
  <c r="H58" i="1"/>
  <c r="H59" i="1"/>
  <c r="I59" i="1" s="1"/>
  <c r="J59" i="1" s="1"/>
  <c r="H57" i="1"/>
  <c r="I57" i="1" s="1"/>
  <c r="J57" i="1" s="1"/>
  <c r="L67" i="1"/>
  <c r="L66" i="1"/>
  <c r="L65" i="1"/>
  <c r="L64" i="1"/>
  <c r="I64" i="1"/>
  <c r="J64" i="1" s="1"/>
  <c r="L63" i="1"/>
  <c r="L62" i="1"/>
  <c r="L61" i="1"/>
  <c r="L60" i="1"/>
  <c r="I60" i="1"/>
  <c r="J60" i="1" s="1"/>
  <c r="L59" i="1"/>
  <c r="L58" i="1"/>
  <c r="L57" i="1"/>
  <c r="L56" i="1"/>
  <c r="I56" i="1"/>
  <c r="J56" i="1" s="1"/>
  <c r="L4" i="9"/>
  <c r="F11" i="9" s="1"/>
  <c r="L3" i="9"/>
  <c r="F13" i="9" s="1"/>
  <c r="L2" i="9"/>
  <c r="F12" i="9" s="1"/>
  <c r="H54" i="1"/>
  <c r="I54" i="1" s="1"/>
  <c r="J54" i="1" s="1"/>
  <c r="H55" i="1"/>
  <c r="H53" i="1"/>
  <c r="H50" i="1"/>
  <c r="H51" i="1"/>
  <c r="H49" i="1"/>
  <c r="L55" i="1"/>
  <c r="L54" i="1"/>
  <c r="L53" i="1"/>
  <c r="L52" i="1"/>
  <c r="I52" i="1"/>
  <c r="J52" i="1" s="1"/>
  <c r="L51" i="1"/>
  <c r="L50" i="1"/>
  <c r="L49" i="1"/>
  <c r="L48" i="1"/>
  <c r="I48" i="1"/>
  <c r="J48" i="1" s="1"/>
  <c r="H13" i="19" l="1"/>
  <c r="G13" i="19"/>
  <c r="G14" i="19" s="1"/>
  <c r="G13" i="16"/>
  <c r="G14" i="16" s="1"/>
  <c r="H10" i="16"/>
  <c r="H13" i="16" s="1"/>
  <c r="G15" i="15"/>
  <c r="G16" i="15" s="1"/>
  <c r="G14" i="14"/>
  <c r="H14" i="14" s="1"/>
  <c r="G12" i="14"/>
  <c r="H12" i="14" s="1"/>
  <c r="G15" i="14"/>
  <c r="H15" i="14" s="1"/>
  <c r="I91" i="1"/>
  <c r="J91" i="1" s="1"/>
  <c r="G14" i="13"/>
  <c r="H14" i="13" s="1"/>
  <c r="H15" i="15"/>
  <c r="I81" i="1"/>
  <c r="J81" i="1" s="1"/>
  <c r="H12" i="13"/>
  <c r="I79" i="1"/>
  <c r="J79" i="1" s="1"/>
  <c r="I83" i="1"/>
  <c r="J83" i="1" s="1"/>
  <c r="I63" i="1"/>
  <c r="J63" i="1" s="1"/>
  <c r="G12" i="12"/>
  <c r="I62" i="1"/>
  <c r="J62" i="1" s="1"/>
  <c r="G11" i="12"/>
  <c r="I51" i="1"/>
  <c r="J51" i="1" s="1"/>
  <c r="F14" i="11"/>
  <c r="I85" i="1"/>
  <c r="J85" i="1" s="1"/>
  <c r="I87" i="1"/>
  <c r="J87" i="1" s="1"/>
  <c r="I86" i="1"/>
  <c r="J86" i="1" s="1"/>
  <c r="I90" i="1"/>
  <c r="J90" i="1" s="1"/>
  <c r="I89" i="1"/>
  <c r="J89" i="1" s="1"/>
  <c r="I78" i="1"/>
  <c r="J78" i="1" s="1"/>
  <c r="I82" i="1"/>
  <c r="J82" i="1" s="1"/>
  <c r="I69" i="1"/>
  <c r="J69" i="1" s="1"/>
  <c r="I75" i="1"/>
  <c r="J75" i="1" s="1"/>
  <c r="I73" i="1"/>
  <c r="J73" i="1" s="1"/>
  <c r="Y24" i="10"/>
  <c r="AA24" i="10" s="1"/>
  <c r="W10" i="10"/>
  <c r="W24" i="10" s="1"/>
  <c r="AB24" i="10" s="1"/>
  <c r="V24" i="10"/>
  <c r="I67" i="1"/>
  <c r="J67" i="1" s="1"/>
  <c r="I66" i="1"/>
  <c r="J66" i="1" s="1"/>
  <c r="I65" i="1"/>
  <c r="J65" i="1" s="1"/>
  <c r="I58" i="1"/>
  <c r="J58" i="1" s="1"/>
  <c r="F14" i="9"/>
  <c r="I53" i="1"/>
  <c r="J53" i="1" s="1"/>
  <c r="I55" i="1"/>
  <c r="J55" i="1" s="1"/>
  <c r="I49" i="1"/>
  <c r="J49" i="1" s="1"/>
  <c r="I50" i="1"/>
  <c r="J50" i="1" s="1"/>
  <c r="H17" i="14" l="1"/>
  <c r="G17" i="14"/>
  <c r="G18" i="14" s="1"/>
  <c r="H15" i="13"/>
  <c r="G15" i="13"/>
  <c r="G16" i="13" s="1"/>
  <c r="G16" i="4"/>
  <c r="E16" i="4"/>
  <c r="G6" i="4"/>
  <c r="E6" i="4"/>
  <c r="H46" i="1"/>
  <c r="G12" i="11" s="1"/>
  <c r="H47" i="1"/>
  <c r="G13" i="11" s="1"/>
  <c r="H45" i="1"/>
  <c r="L47" i="1"/>
  <c r="L46" i="1"/>
  <c r="L45" i="1"/>
  <c r="L44" i="1"/>
  <c r="I44" i="1"/>
  <c r="J44" i="1" s="1"/>
  <c r="I45" i="1" l="1"/>
  <c r="J45" i="1" s="1"/>
  <c r="G11" i="11"/>
  <c r="I46" i="1"/>
  <c r="J46" i="1" s="1"/>
  <c r="I47" i="1"/>
  <c r="J47" i="1" s="1"/>
  <c r="Z24" i="8" l="1"/>
  <c r="S24" i="8"/>
  <c r="R24" i="8"/>
  <c r="P24" i="8"/>
  <c r="O24" i="8"/>
  <c r="Y22" i="8"/>
  <c r="Y21" i="8"/>
  <c r="Y20" i="8"/>
  <c r="Y19" i="8"/>
  <c r="Y18" i="8"/>
  <c r="V18" i="8"/>
  <c r="W18" i="8" s="1"/>
  <c r="Y17" i="8"/>
  <c r="V17" i="8"/>
  <c r="W17" i="8" s="1"/>
  <c r="Y16" i="8"/>
  <c r="V16" i="8"/>
  <c r="W16" i="8" s="1"/>
  <c r="Y15" i="8"/>
  <c r="V15" i="8"/>
  <c r="W15" i="8" s="1"/>
  <c r="Y14" i="8"/>
  <c r="U14" i="8"/>
  <c r="V14" i="8" s="1"/>
  <c r="W14" i="8" s="1"/>
  <c r="Y13" i="8"/>
  <c r="U13" i="8"/>
  <c r="V13" i="8" s="1"/>
  <c r="W13" i="8" s="1"/>
  <c r="Y12" i="8"/>
  <c r="U12" i="8"/>
  <c r="V12" i="8" s="1"/>
  <c r="W12" i="8" s="1"/>
  <c r="Y11" i="8"/>
  <c r="U11" i="8"/>
  <c r="V11" i="8" s="1"/>
  <c r="W11" i="8" s="1"/>
  <c r="Y10" i="8"/>
  <c r="U10" i="8"/>
  <c r="V10" i="8" s="1"/>
  <c r="H42" i="1"/>
  <c r="H43" i="1"/>
  <c r="I43" i="1" s="1"/>
  <c r="J43" i="1" s="1"/>
  <c r="H41" i="1"/>
  <c r="I41" i="1" s="1"/>
  <c r="J41" i="1" s="1"/>
  <c r="L43" i="1"/>
  <c r="L42" i="1"/>
  <c r="L41" i="1"/>
  <c r="L40" i="1"/>
  <c r="I40" i="1"/>
  <c r="J40" i="1" s="1"/>
  <c r="Y24" i="8" l="1"/>
  <c r="AA24" i="8" s="1"/>
  <c r="W10" i="8"/>
  <c r="W24" i="8" s="1"/>
  <c r="AB24" i="8" s="1"/>
  <c r="V24" i="8"/>
  <c r="I42" i="1"/>
  <c r="J42" i="1" s="1"/>
  <c r="L4" i="7" l="1"/>
  <c r="F11" i="7" s="1"/>
  <c r="L3" i="7"/>
  <c r="F13" i="7" s="1"/>
  <c r="L2" i="7"/>
  <c r="F12" i="7" s="1"/>
  <c r="F14" i="7" l="1"/>
  <c r="H38" i="1" l="1"/>
  <c r="H11" i="12" s="1"/>
  <c r="H39" i="1"/>
  <c r="H37" i="1"/>
  <c r="L39" i="1"/>
  <c r="L38" i="1"/>
  <c r="L37" i="1"/>
  <c r="L36" i="1"/>
  <c r="I36" i="1"/>
  <c r="J36" i="1" s="1"/>
  <c r="H34" i="1"/>
  <c r="I34" i="1" s="1"/>
  <c r="J34" i="1" s="1"/>
  <c r="H35" i="1"/>
  <c r="I35" i="1" s="1"/>
  <c r="J35" i="1" s="1"/>
  <c r="H33" i="1"/>
  <c r="I33" i="1" s="1"/>
  <c r="J33" i="1" s="1"/>
  <c r="L35" i="1"/>
  <c r="L34" i="1"/>
  <c r="L33" i="1"/>
  <c r="L32" i="1"/>
  <c r="I32" i="1"/>
  <c r="J32" i="1" s="1"/>
  <c r="G5" i="4"/>
  <c r="E5" i="4"/>
  <c r="G4" i="4"/>
  <c r="Y12" i="6"/>
  <c r="Y13" i="6"/>
  <c r="Y14" i="6"/>
  <c r="Y15" i="6"/>
  <c r="Y16" i="6"/>
  <c r="Y17" i="6"/>
  <c r="Y18" i="6"/>
  <c r="W24" i="6"/>
  <c r="V24" i="6"/>
  <c r="U14" i="6"/>
  <c r="V14" i="6" s="1"/>
  <c r="W14" i="6" s="1"/>
  <c r="U15" i="6"/>
  <c r="V15" i="6"/>
  <c r="W15" i="6"/>
  <c r="U16" i="6"/>
  <c r="V16" i="6"/>
  <c r="W16" i="6" s="1"/>
  <c r="U17" i="6"/>
  <c r="V17" i="6"/>
  <c r="W17" i="6"/>
  <c r="U18" i="6"/>
  <c r="V18" i="6"/>
  <c r="W18" i="6" s="1"/>
  <c r="S24" i="6"/>
  <c r="R24" i="6"/>
  <c r="P24" i="6"/>
  <c r="O24" i="6"/>
  <c r="H13" i="11" l="1"/>
  <c r="H12" i="12"/>
  <c r="H10" i="12"/>
  <c r="H11" i="11"/>
  <c r="G12" i="9"/>
  <c r="H12" i="9" s="1"/>
  <c r="H12" i="11"/>
  <c r="I37" i="1"/>
  <c r="J37" i="1" s="1"/>
  <c r="G11" i="9"/>
  <c r="I39" i="1"/>
  <c r="J39" i="1" s="1"/>
  <c r="G13" i="9"/>
  <c r="H13" i="9" s="1"/>
  <c r="I38" i="1"/>
  <c r="J38" i="1" s="1"/>
  <c r="Y20" i="6"/>
  <c r="Y19" i="6"/>
  <c r="Z24" i="6"/>
  <c r="Y22" i="6"/>
  <c r="Y21" i="6"/>
  <c r="U13" i="6"/>
  <c r="V13" i="6" s="1"/>
  <c r="W13" i="6" s="1"/>
  <c r="U12" i="6"/>
  <c r="V12" i="6" s="1"/>
  <c r="W12" i="6" s="1"/>
  <c r="Y11" i="6"/>
  <c r="U11" i="6"/>
  <c r="V11" i="6" s="1"/>
  <c r="W11" i="6" s="1"/>
  <c r="Y10" i="6"/>
  <c r="U10" i="6"/>
  <c r="V10" i="6" s="1"/>
  <c r="H13" i="12" l="1"/>
  <c r="G13" i="12"/>
  <c r="G14" i="12" s="1"/>
  <c r="H14" i="11"/>
  <c r="G14" i="11"/>
  <c r="G15" i="11" s="1"/>
  <c r="G14" i="9"/>
  <c r="G15" i="9" s="1"/>
  <c r="H11" i="9"/>
  <c r="H14" i="9" s="1"/>
  <c r="Y24" i="6"/>
  <c r="AA24" i="6" s="1"/>
  <c r="W10" i="6"/>
  <c r="AB24" i="6" s="1"/>
  <c r="F23" i="5" l="1"/>
  <c r="F27" i="5" s="1"/>
  <c r="F8" i="5"/>
  <c r="F12" i="5" s="1"/>
  <c r="H30" i="1"/>
  <c r="H31" i="1"/>
  <c r="I31" i="1" s="1"/>
  <c r="J31" i="1" s="1"/>
  <c r="H29" i="1"/>
  <c r="I29" i="1" s="1"/>
  <c r="J29" i="1" s="1"/>
  <c r="L31" i="1"/>
  <c r="L30" i="1"/>
  <c r="L29" i="1"/>
  <c r="L28" i="1"/>
  <c r="I28" i="1"/>
  <c r="J28" i="1" s="1"/>
  <c r="H27" i="1"/>
  <c r="I27" i="1" s="1"/>
  <c r="J27" i="1" s="1"/>
  <c r="L27" i="1"/>
  <c r="A27" i="1"/>
  <c r="F28" i="5" l="1"/>
  <c r="F29" i="5" s="1"/>
  <c r="F13" i="5"/>
  <c r="F14" i="5" s="1"/>
  <c r="I30" i="1"/>
  <c r="J30" i="1" s="1"/>
  <c r="H22" i="1" l="1"/>
  <c r="I22" i="1" s="1"/>
  <c r="J22" i="1" s="1"/>
  <c r="L26" i="1"/>
  <c r="L25" i="1"/>
  <c r="L24" i="1"/>
  <c r="L21" i="1"/>
  <c r="I21" i="1"/>
  <c r="J21" i="1" s="1"/>
  <c r="A21" i="1"/>
  <c r="H23" i="1" l="1"/>
  <c r="H25" i="1" s="1"/>
  <c r="I25" i="1" s="1"/>
  <c r="J25" i="1" s="1"/>
  <c r="J23" i="1"/>
  <c r="I23" i="1"/>
  <c r="H14" i="1"/>
  <c r="H13" i="1"/>
  <c r="F13" i="2"/>
  <c r="F12" i="2"/>
  <c r="F11" i="2"/>
  <c r="H16" i="1"/>
  <c r="I16" i="1" s="1"/>
  <c r="L18" i="1"/>
  <c r="G12" i="7" l="1"/>
  <c r="H24" i="1"/>
  <c r="G11" i="7" s="1"/>
  <c r="H26" i="1"/>
  <c r="I26" i="1" s="1"/>
  <c r="J26" i="1" s="1"/>
  <c r="J16" i="1"/>
  <c r="H17" i="1"/>
  <c r="H18" i="1" l="1"/>
  <c r="I18" i="1" s="1"/>
  <c r="J18" i="1" s="1"/>
  <c r="G13" i="7"/>
  <c r="I24" i="1"/>
  <c r="J24" i="1" s="1"/>
  <c r="H20" i="1"/>
  <c r="H19" i="1"/>
  <c r="H12" i="1" l="1"/>
  <c r="I19" i="1"/>
  <c r="J19" i="1" s="1"/>
  <c r="I20" i="1"/>
  <c r="J20" i="1" s="1"/>
  <c r="L19" i="1"/>
  <c r="L20" i="1"/>
  <c r="L15" i="1"/>
  <c r="I15" i="1"/>
  <c r="I17" i="1" s="1"/>
  <c r="A15" i="1"/>
  <c r="L2" i="2"/>
  <c r="L3" i="2"/>
  <c r="L4" i="2"/>
  <c r="F5" i="4"/>
  <c r="F6" i="4"/>
  <c r="F7" i="4"/>
  <c r="F8" i="4"/>
  <c r="F9" i="4"/>
  <c r="F10" i="4"/>
  <c r="F11" i="4"/>
  <c r="F12" i="4"/>
  <c r="F13" i="4"/>
  <c r="F14" i="4"/>
  <c r="F15" i="4"/>
  <c r="I5" i="4"/>
  <c r="J5" i="4" s="1"/>
  <c r="H5" i="4"/>
  <c r="H6" i="4"/>
  <c r="I6" i="4" s="1"/>
  <c r="J6" i="4" s="1"/>
  <c r="H7" i="4"/>
  <c r="I7" i="4" s="1"/>
  <c r="H8" i="4"/>
  <c r="I8" i="4" s="1"/>
  <c r="J8" i="4" s="1"/>
  <c r="H9" i="4"/>
  <c r="I9" i="4" s="1"/>
  <c r="J9" i="4" s="1"/>
  <c r="H10" i="4"/>
  <c r="I10" i="4" s="1"/>
  <c r="J10" i="4" s="1"/>
  <c r="H11" i="4"/>
  <c r="I11" i="4" s="1"/>
  <c r="J11" i="4" s="1"/>
  <c r="H12" i="4"/>
  <c r="I12" i="4" s="1"/>
  <c r="J12" i="4" s="1"/>
  <c r="H13" i="4"/>
  <c r="I13" i="4" s="1"/>
  <c r="J13" i="4" s="1"/>
  <c r="H14" i="4"/>
  <c r="I14" i="4" s="1"/>
  <c r="J14" i="4" s="1"/>
  <c r="H4" i="4"/>
  <c r="I4" i="4" s="1"/>
  <c r="J4" i="4" s="1"/>
  <c r="E4" i="4"/>
  <c r="F4" i="4" s="1"/>
  <c r="Z21" i="3"/>
  <c r="S21" i="3"/>
  <c r="R21" i="3"/>
  <c r="P21" i="3"/>
  <c r="O21" i="3"/>
  <c r="W11" i="3"/>
  <c r="W12" i="3"/>
  <c r="W13" i="3"/>
  <c r="V11" i="3"/>
  <c r="V12" i="3"/>
  <c r="V13" i="3"/>
  <c r="U11" i="3"/>
  <c r="U12" i="3"/>
  <c r="U13" i="3"/>
  <c r="H16" i="4" l="1"/>
  <c r="I16" i="4"/>
  <c r="J7" i="4"/>
  <c r="J16" i="4" s="1"/>
  <c r="J15" i="1"/>
  <c r="J17" i="1" s="1"/>
  <c r="Y19" i="3"/>
  <c r="Y18" i="3"/>
  <c r="Y17" i="3"/>
  <c r="Y16" i="3"/>
  <c r="Y15" i="3"/>
  <c r="Y14" i="3"/>
  <c r="Y13" i="3"/>
  <c r="Y12" i="3"/>
  <c r="Y11" i="3"/>
  <c r="Y10" i="3"/>
  <c r="U10" i="3"/>
  <c r="V10" i="3" s="1"/>
  <c r="L13" i="1"/>
  <c r="L14" i="1"/>
  <c r="L12" i="1"/>
  <c r="I12" i="1"/>
  <c r="J12" i="1" s="1"/>
  <c r="L11" i="1"/>
  <c r="I11" i="1"/>
  <c r="J11" i="1" s="1"/>
  <c r="A11" i="1"/>
  <c r="L8" i="1"/>
  <c r="P6" i="1"/>
  <c r="P5" i="1"/>
  <c r="L6" i="1"/>
  <c r="I6" i="1"/>
  <c r="J6" i="1" s="1"/>
  <c r="L5" i="1"/>
  <c r="I5" i="1"/>
  <c r="J5" i="1" s="1"/>
  <c r="L9" i="1"/>
  <c r="L10" i="1"/>
  <c r="H8" i="1"/>
  <c r="P7" i="1"/>
  <c r="L7" i="1"/>
  <c r="H10" i="1"/>
  <c r="A7" i="1"/>
  <c r="H11" i="7" l="1"/>
  <c r="G13" i="2"/>
  <c r="H13" i="7"/>
  <c r="I8" i="1"/>
  <c r="J8" i="1" s="1"/>
  <c r="G11" i="2"/>
  <c r="H11" i="2" s="1"/>
  <c r="I13" i="1"/>
  <c r="J13" i="1" s="1"/>
  <c r="F14" i="2"/>
  <c r="Y21" i="3"/>
  <c r="AA21" i="3" s="1"/>
  <c r="W10" i="3"/>
  <c r="W21" i="3" s="1"/>
  <c r="AB21" i="3" s="1"/>
  <c r="V21" i="3"/>
  <c r="I7" i="1"/>
  <c r="J7" i="1" s="1"/>
  <c r="H9" i="1"/>
  <c r="H3" i="1" s="1"/>
  <c r="I10" i="1"/>
  <c r="J10" i="1" s="1"/>
  <c r="G12" i="2" l="1"/>
  <c r="H12" i="2" s="1"/>
  <c r="I14" i="1"/>
  <c r="J14" i="1" s="1"/>
  <c r="I9" i="1"/>
  <c r="J9" i="1" s="1"/>
  <c r="H13" i="2"/>
  <c r="M1" i="1"/>
  <c r="J3" i="1" l="1"/>
  <c r="J1" i="1" s="1"/>
  <c r="H14" i="2"/>
  <c r="H12" i="7"/>
  <c r="H14" i="7" s="1"/>
  <c r="G14" i="7"/>
  <c r="G15" i="7" s="1"/>
  <c r="G14" i="2"/>
  <c r="G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Los Angeles</author>
  </authors>
  <commentList>
    <comment ref="D16" authorId="0" shapeId="0" xr:uid="{50D91629-A6C1-42DE-A7C9-5B84433DA189}">
      <text>
        <r>
          <rPr>
            <b/>
            <sz val="9"/>
            <color indexed="81"/>
            <rFont val="Tahoma"/>
            <family val="2"/>
          </rPr>
          <t>(Dif 2 Cj baby)</t>
        </r>
      </text>
    </comment>
    <comment ref="D22" authorId="0" shapeId="0" xr:uid="{C6E4FE6D-192F-474D-9B49-956776769EBA}">
      <text>
        <r>
          <rPr>
            <b/>
            <sz val="9"/>
            <color indexed="81"/>
            <rFont val="Tahoma"/>
            <family val="2"/>
          </rPr>
          <t>Dif 6 Cj baby</t>
        </r>
      </text>
    </comment>
    <comment ref="G84" authorId="0" shapeId="0" xr:uid="{E7E4E936-7BE0-4E82-9939-47C3EAA75397}">
      <text>
        <r>
          <rPr>
            <b/>
            <sz val="9"/>
            <color indexed="81"/>
            <rFont val="Tahoma"/>
            <family val="2"/>
          </rPr>
          <t>Generado caso 31.10.23</t>
        </r>
      </text>
    </comment>
    <comment ref="D111" authorId="0" shapeId="0" xr:uid="{6E52C05A-5DDC-49E2-9007-F085D300DDD0}">
      <text>
        <r>
          <rPr>
            <b/>
            <sz val="9"/>
            <color indexed="81"/>
            <rFont val="Tahoma"/>
            <family val="2"/>
          </rPr>
          <t xml:space="preserve">135 cajas Verde L-XL
45 cajas Verde Sisa
26 cajas Blanco L-XL
</t>
        </r>
      </text>
    </comment>
    <comment ref="D117" authorId="0" shapeId="0" xr:uid="{0B9D58BA-387A-408E-B0A3-BF58C117D9AF}">
      <text>
        <r>
          <rPr>
            <b/>
            <sz val="9"/>
            <color indexed="81"/>
            <rFont val="Tahoma"/>
            <family val="2"/>
          </rPr>
          <t>3 cajas morado</t>
        </r>
      </text>
    </comment>
    <comment ref="D142" authorId="0" shapeId="0" xr:uid="{B26F2EE0-82B3-4B56-B542-2BE07E365F31}">
      <text>
        <r>
          <rPr>
            <b/>
            <sz val="9"/>
            <color indexed="81"/>
            <rFont val="Tahoma"/>
            <family val="2"/>
          </rPr>
          <t>2 cajas verde sisa (40 paquetes)</t>
        </r>
      </text>
    </comment>
    <comment ref="C143" authorId="0" shapeId="0" xr:uid="{BEDB4207-DB08-4F93-8CA8-C98A54F6273C}">
      <text>
        <r>
          <rPr>
            <b/>
            <sz val="9"/>
            <color indexed="81"/>
            <rFont val="Tahoma"/>
            <family val="2"/>
          </rPr>
          <t>NC-117 / F1044</t>
        </r>
      </text>
    </comment>
    <comment ref="D143" authorId="0" shapeId="0" xr:uid="{4FAE073A-7D6A-4411-B299-EFFA284A36E1}">
      <text>
        <r>
          <rPr>
            <b/>
            <sz val="9"/>
            <color indexed="81"/>
            <rFont val="Tahoma"/>
            <family val="2"/>
          </rPr>
          <t>2 cajas verde sisa (40 paquetes)</t>
        </r>
      </text>
    </comment>
    <comment ref="H160" authorId="0" shapeId="0" xr:uid="{F27656DC-B836-4094-8676-6D0B227F9AFF}">
      <text>
        <r>
          <rPr>
            <b/>
            <sz val="9"/>
            <color indexed="81"/>
            <rFont val="Tahoma"/>
            <family val="2"/>
          </rPr>
          <t>DESDE LA F.1016
HASTA LA F.1071</t>
        </r>
      </text>
    </comment>
    <comment ref="D170" authorId="0" shapeId="0" xr:uid="{FB6E105C-CCA1-4989-AE41-2D053F9576F8}">
      <text>
        <r>
          <rPr>
            <b/>
            <sz val="9"/>
            <color indexed="81"/>
            <rFont val="Tahoma"/>
            <family val="2"/>
          </rPr>
          <t xml:space="preserve">24 cajas </t>
        </r>
      </text>
    </comment>
    <comment ref="C235" authorId="0" shapeId="0" xr:uid="{E5479A0A-E8F5-4733-A213-3FE612EFF42C}">
      <text>
        <r>
          <rPr>
            <b/>
            <sz val="9"/>
            <color indexed="81"/>
            <rFont val="Tahoma"/>
            <family val="2"/>
          </rPr>
          <t>NO CORRESPONDE EL DESCUENTO QUE FIGURA EN SISTEMA B2B</t>
        </r>
      </text>
    </comment>
    <comment ref="H235" authorId="0" shapeId="0" xr:uid="{C3300D49-D1D3-4507-BE7A-01D8E7EC0A9F}">
      <text>
        <r>
          <rPr>
            <b/>
            <sz val="9"/>
            <color indexed="81"/>
            <rFont val="Tahoma"/>
            <family val="2"/>
          </rPr>
          <t>EL DESCUENTO SE CONSIDERO PARA LAS FCOMPRA DEL 02.04 n°20682675, 20683389, 20682100</t>
        </r>
      </text>
    </comment>
    <comment ref="C249" authorId="0" shapeId="0" xr:uid="{8BAE83ED-E27E-42EE-9E25-9527D00CAA77}">
      <text>
        <r>
          <rPr>
            <b/>
            <sz val="9"/>
            <color indexed="81"/>
            <rFont val="Tahoma"/>
            <family val="2"/>
          </rPr>
          <t>NO APARECE LA FACTURA EN B2B NI TAMPOCO EL DESCUENTO</t>
        </r>
      </text>
    </comment>
    <comment ref="D249" authorId="0" shapeId="0" xr:uid="{3AF1A67B-703A-43E4-97EF-0F37C4AC0051}">
      <text>
        <r>
          <rPr>
            <b/>
            <sz val="9"/>
            <color indexed="81"/>
            <rFont val="Tahoma"/>
            <family val="2"/>
          </rPr>
          <t xml:space="preserve">24 cajas </t>
        </r>
      </text>
    </comment>
    <comment ref="H250" authorId="0" shapeId="0" xr:uid="{C89E3DF6-9CAA-4877-AF3E-96703AF58BA2}">
      <text>
        <r>
          <rPr>
            <b/>
            <sz val="8"/>
            <color indexed="81"/>
            <rFont val="Tahoma"/>
            <family val="2"/>
          </rPr>
          <t>DESCUENTA EL MONTO DE LA LINEA 235 QUE CORRESPONDE A ERROR ASOCIADO A LA F.1134</t>
        </r>
      </text>
    </comment>
    <comment ref="D259" authorId="0" shapeId="0" xr:uid="{6FFB56D5-2D00-4AF8-9ED0-72DE4655EED3}">
      <text>
        <r>
          <rPr>
            <b/>
            <sz val="9"/>
            <color indexed="81"/>
            <rFont val="Tahoma"/>
            <family val="2"/>
          </rPr>
          <t xml:space="preserve">33 cajas </t>
        </r>
      </text>
    </comment>
    <comment ref="H259" authorId="0" shapeId="0" xr:uid="{860AE4DA-6F15-4594-B5E5-F451E6528F3A}">
      <text>
        <r>
          <rPr>
            <b/>
            <sz val="8"/>
            <color indexed="81"/>
            <rFont val="Tahoma"/>
            <family val="2"/>
          </rPr>
          <t>PENDIENTE DESCONTAR PARA LAS FACTURAS DE COMPRA</t>
        </r>
      </text>
    </comment>
    <comment ref="M259" authorId="0" shapeId="0" xr:uid="{7E4B8244-EE0D-4FB2-93D1-42AA2C924D0D}">
      <text>
        <r>
          <rPr>
            <b/>
            <sz val="9"/>
            <color indexed="81"/>
            <rFont val="Tahoma"/>
            <family val="2"/>
          </rPr>
          <t>NO CORRESPONDE, SE SOLICITA ANULAR YA QUE SE INGRESARON LAS 33 BANDEJAS EN LA MISMA OC</t>
        </r>
      </text>
    </comment>
    <comment ref="N259" authorId="0" shapeId="0" xr:uid="{71E53B3A-C2B0-488F-B53A-1B712477E448}">
      <text>
        <r>
          <rPr>
            <b/>
            <sz val="9"/>
            <color indexed="81"/>
            <rFont val="Tahoma"/>
            <family val="2"/>
          </rPr>
          <t>NO CORRESPONDE, SE SOLICITA ANULAR YA QUE SE INGRESARON LAS 33 BANDEJAS EN LA MISMA OC</t>
        </r>
      </text>
    </comment>
    <comment ref="C269" authorId="0" shapeId="0" xr:uid="{8737CC3B-62BE-4CEA-8203-C69D7B4EC318}">
      <text>
        <r>
          <rPr>
            <b/>
            <sz val="9"/>
            <color indexed="81"/>
            <rFont val="Tahoma"/>
            <family val="2"/>
          </rPr>
          <t>REEMPLAZA LA F1134</t>
        </r>
      </text>
    </comment>
    <comment ref="C270" authorId="0" shapeId="0" xr:uid="{A9D995D4-813B-469E-B263-2D625DF0166E}">
      <text>
        <r>
          <rPr>
            <b/>
            <sz val="9"/>
            <color indexed="81"/>
            <rFont val="Tahoma"/>
            <family val="2"/>
          </rPr>
          <t>REEMPLAZA LA F1159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Los Angeles</author>
  </authors>
  <commentList>
    <comment ref="C19" authorId="0" shapeId="0" xr:uid="{0E52C865-8153-4E9E-A693-808989504BF5}">
      <text>
        <r>
          <rPr>
            <b/>
            <sz val="9"/>
            <color indexed="81"/>
            <rFont val="Tahoma"/>
            <family val="2"/>
          </rPr>
          <t>NO CORRESPONDE EL DESCUENTO QUE FIGURA EN SISTEMA B2B</t>
        </r>
      </text>
    </comment>
    <comment ref="H19" authorId="0" shapeId="0" xr:uid="{6E8E32F6-9DCC-4BAA-A40F-F991C93439BF}">
      <text>
        <r>
          <rPr>
            <b/>
            <sz val="9"/>
            <color indexed="81"/>
            <rFont val="Tahoma"/>
            <family val="2"/>
          </rPr>
          <t>EL DESCUENTO SE CONSIDERO PARA LAS FCOMPRA DEL 02.04 n°20682675, 20683389, 20682100</t>
        </r>
      </text>
    </comment>
    <comment ref="M19" authorId="0" shapeId="0" xr:uid="{C241C9B1-EB11-47D8-8372-32A9B992D41D}">
      <text>
        <r>
          <rPr>
            <b/>
            <sz val="9"/>
            <color indexed="81"/>
            <rFont val="Tahoma"/>
            <family val="2"/>
          </rPr>
          <t>En disputa Solicitado anular dado que se ingreso el pallet de 45 bandejas</t>
        </r>
      </text>
    </comment>
  </commentList>
</comments>
</file>

<file path=xl/sharedStrings.xml><?xml version="1.0" encoding="utf-8"?>
<sst xmlns="http://schemas.openxmlformats.org/spreadsheetml/2006/main" count="3930" uniqueCount="653">
  <si>
    <t>MONTO CONFIRMING</t>
  </si>
  <si>
    <t xml:space="preserve">EXPORTADORA VOLCAN FOODS </t>
  </si>
  <si>
    <t>RESUMEN CENCOSUD</t>
  </si>
  <si>
    <t>Especie</t>
  </si>
  <si>
    <t>N° Doc.</t>
  </si>
  <si>
    <t>Condición</t>
  </si>
  <si>
    <t>Fecha Emisión</t>
  </si>
  <si>
    <t>Cargo</t>
  </si>
  <si>
    <t>B2B</t>
  </si>
  <si>
    <t>MONTO $</t>
  </si>
  <si>
    <t>IVA $</t>
  </si>
  <si>
    <t>TOTAL $ EQUIV.</t>
  </si>
  <si>
    <t>TOTAL $B2B</t>
  </si>
  <si>
    <t>FECHA VENC</t>
  </si>
  <si>
    <t>STATUS</t>
  </si>
  <si>
    <t>FECHA VISUALIZACIÓN</t>
  </si>
  <si>
    <t>FECHA PAGO</t>
  </si>
  <si>
    <t>SEM PAGO</t>
  </si>
  <si>
    <t>PAGO $</t>
  </si>
  <si>
    <t>BANCO $</t>
  </si>
  <si>
    <t>FACTURAS DE VENTA CENCO</t>
  </si>
  <si>
    <t>Factura 4%</t>
  </si>
  <si>
    <t>Factura 8%</t>
  </si>
  <si>
    <t>Factura 10%</t>
  </si>
  <si>
    <t>Esparragos</t>
  </si>
  <si>
    <t>Venta</t>
  </si>
  <si>
    <t>Compra</t>
  </si>
  <si>
    <t>SITUACIÓN FINANCIERA T23.24</t>
  </si>
  <si>
    <t>T22.23</t>
  </si>
  <si>
    <t>NC</t>
  </si>
  <si>
    <t>BCI Confirming1</t>
  </si>
  <si>
    <t>SIMULACIÓN 28/09/23</t>
  </si>
  <si>
    <t>LIQUIDACIÓN DE CESIÓN DE DOCUMENTOS (E-FACTORING BCI)</t>
  </si>
  <si>
    <t>Nombre Proveedor  :</t>
  </si>
  <si>
    <t xml:space="preserve">EXPORTADORA EL VOLCAN FOODS   </t>
  </si>
  <si>
    <t>Monto Anticipo   :</t>
  </si>
  <si>
    <t>Comisión + IVA           :</t>
  </si>
  <si>
    <t>Forma Pago       :</t>
  </si>
  <si>
    <t>CCT</t>
  </si>
  <si>
    <t>Rut Proveedor        :</t>
  </si>
  <si>
    <t>77.223.122-9</t>
  </si>
  <si>
    <t>Diferencia Precio :</t>
  </si>
  <si>
    <t>Servicio Adm Depósito :</t>
  </si>
  <si>
    <t>Banco               :</t>
  </si>
  <si>
    <t>BANCO DE CREDITO E INVERSIONES</t>
  </si>
  <si>
    <t>Fecha Operación     :</t>
  </si>
  <si>
    <t>Precio Compra    :</t>
  </si>
  <si>
    <t>Cuenta corriente :</t>
  </si>
  <si>
    <t>Número Operación  :</t>
  </si>
  <si>
    <t>Líquido a Pagar   :</t>
  </si>
  <si>
    <t>Nombre Pagador</t>
  </si>
  <si>
    <t>Rut Pagador</t>
  </si>
  <si>
    <t>Fecha Nómina</t>
  </si>
  <si>
    <t>Número Grupo</t>
  </si>
  <si>
    <t>Tipo Documento</t>
  </si>
  <si>
    <t>Número Documento</t>
  </si>
  <si>
    <t>Fecha Pago</t>
  </si>
  <si>
    <t>Plazo</t>
  </si>
  <si>
    <t>Monto Documento</t>
  </si>
  <si>
    <t>Monto Anticipado</t>
  </si>
  <si>
    <t>Tasa de Negocio</t>
  </si>
  <si>
    <t>Diferencia de Precio</t>
  </si>
  <si>
    <t>Precio de Compra</t>
  </si>
  <si>
    <t>Costo Tasa 1,25%</t>
  </si>
  <si>
    <t>Comision+Iva</t>
  </si>
  <si>
    <t>Total</t>
  </si>
  <si>
    <t xml:space="preserve">CENCOSUD RETAIL S A           </t>
  </si>
  <si>
    <t>81201000-K</t>
  </si>
  <si>
    <t xml:space="preserve">DE </t>
  </si>
  <si>
    <t xml:space="preserve">FC </t>
  </si>
  <si>
    <t>TOTALES</t>
  </si>
  <si>
    <t>Esta liquidación se entenderá aprobada, si no es objetada dentro de los próximos 30 días corridos.- En caso de disconformidad rogamos formular sus observaciones a bcifactoring@bci.cl.</t>
  </si>
  <si>
    <t>Sociedad</t>
  </si>
  <si>
    <t>Local</t>
  </si>
  <si>
    <t>N° Doc. SAP</t>
  </si>
  <si>
    <t>Ref. Proveedor</t>
  </si>
  <si>
    <t>Monto ($)</t>
  </si>
  <si>
    <t>Monto Neto</t>
  </si>
  <si>
    <t>Estado</t>
  </si>
  <si>
    <t>Beneficiario</t>
  </si>
  <si>
    <t>CENCOSUD RETAIL S.A.</t>
  </si>
  <si>
    <t>ADMINISTRACION JUMBO</t>
  </si>
  <si>
    <t>FACTURA ACUERDO CIAL</t>
  </si>
  <si>
    <t>NO BLOQUEADO</t>
  </si>
  <si>
    <t>EXPORTADORA VOLCAN FOODS LIMITADA</t>
  </si>
  <si>
    <t>DESCUENTOS</t>
  </si>
  <si>
    <t>F CENCOSUD</t>
  </si>
  <si>
    <t>F-VOLCAN</t>
  </si>
  <si>
    <t>PORTAL NETO</t>
  </si>
  <si>
    <t>CTA VF NETO</t>
  </si>
  <si>
    <t xml:space="preserve">DIF. </t>
  </si>
  <si>
    <t>SUBTOTAL</t>
  </si>
  <si>
    <t>DIFERENCIA</t>
  </si>
  <si>
    <t>pago ok 28-09-23</t>
  </si>
  <si>
    <t>28/09/2023</t>
  </si>
  <si>
    <t xml:space="preserve">F 00000017973676         </t>
  </si>
  <si>
    <t>20/10/2023</t>
  </si>
  <si>
    <t>22</t>
  </si>
  <si>
    <t>1,07</t>
  </si>
  <si>
    <t xml:space="preserve">GE00000041209678         </t>
  </si>
  <si>
    <t xml:space="preserve">928                      </t>
  </si>
  <si>
    <t xml:space="preserve">929                      </t>
  </si>
  <si>
    <t>UF</t>
  </si>
  <si>
    <t>COM</t>
  </si>
  <si>
    <t>OPERACIÓN</t>
  </si>
  <si>
    <t>COMISIÓN</t>
  </si>
  <si>
    <t>CONF.1</t>
  </si>
  <si>
    <t>FECHA</t>
  </si>
  <si>
    <t>MONTO DOC VF</t>
  </si>
  <si>
    <t>MONTO PAGO BCI</t>
  </si>
  <si>
    <t>DIF. PRECIO</t>
  </si>
  <si>
    <t>%DIF. PRECIO</t>
  </si>
  <si>
    <t>RESUMEN CONFIRMING T23.24</t>
  </si>
  <si>
    <t>COSTO OPERACIÓN</t>
  </si>
  <si>
    <t>CONF.2</t>
  </si>
  <si>
    <t>CONF.3</t>
  </si>
  <si>
    <t>CONF.4</t>
  </si>
  <si>
    <t>CONF.5</t>
  </si>
  <si>
    <t>CONF.6</t>
  </si>
  <si>
    <t>CONF.7</t>
  </si>
  <si>
    <t>CONF.8</t>
  </si>
  <si>
    <t>CONF.9</t>
  </si>
  <si>
    <t>CONF.10</t>
  </si>
  <si>
    <t>CONF.11</t>
  </si>
  <si>
    <t>CONF.12</t>
  </si>
  <si>
    <t>249127107</t>
  </si>
  <si>
    <t>F 00000019245921</t>
  </si>
  <si>
    <t>2023-09-30T00:00</t>
  </si>
  <si>
    <t>2023-11-03T00:00</t>
  </si>
  <si>
    <t>249126596</t>
  </si>
  <si>
    <t>F 00000019245410</t>
  </si>
  <si>
    <t>249125946</t>
  </si>
  <si>
    <t>F 00000019244759</t>
  </si>
  <si>
    <t>REV ACUERDOS RAPEL 30.09.23</t>
  </si>
  <si>
    <t>F 19244759</t>
  </si>
  <si>
    <t>F 19245921</t>
  </si>
  <si>
    <t>F 19245410</t>
  </si>
  <si>
    <t>DCTO DIF PRECIO/CANT</t>
  </si>
  <si>
    <t>NO CONSIDERAR</t>
  </si>
  <si>
    <t>si</t>
  </si>
  <si>
    <t>Bci Confirming2</t>
  </si>
  <si>
    <t>FECHA: 05/10/23</t>
  </si>
  <si>
    <t>Producto</t>
  </si>
  <si>
    <t>Esparrago baby</t>
  </si>
  <si>
    <t>SOLICITUD</t>
  </si>
  <si>
    <t>NOTA DE CREDITO</t>
  </si>
  <si>
    <t>Cantidad</t>
  </si>
  <si>
    <t>Unidad</t>
  </si>
  <si>
    <t>Cj</t>
  </si>
  <si>
    <t>Precio</t>
  </si>
  <si>
    <t>Monto</t>
  </si>
  <si>
    <t>neto</t>
  </si>
  <si>
    <t>iva</t>
  </si>
  <si>
    <t>total</t>
  </si>
  <si>
    <t>Descuento por diferencia en precio cantidad</t>
  </si>
  <si>
    <t>Descuento diferencia precio / cantidad</t>
  </si>
  <si>
    <t>pago ok 05-10-23</t>
  </si>
  <si>
    <t>NC-92</t>
  </si>
  <si>
    <t>NC-93</t>
  </si>
  <si>
    <t>AJUSTE DE FA N°92</t>
  </si>
  <si>
    <t>AJUSTE DE FA N°93</t>
  </si>
  <si>
    <t>05/10/2023</t>
  </si>
  <si>
    <t xml:space="preserve">934                      </t>
  </si>
  <si>
    <t>15</t>
  </si>
  <si>
    <t>1,06</t>
  </si>
  <si>
    <t xml:space="preserve">F 00000019244759         </t>
  </si>
  <si>
    <t xml:space="preserve">F 00000019245410         </t>
  </si>
  <si>
    <t xml:space="preserve">F 00000019245921         </t>
  </si>
  <si>
    <t xml:space="preserve">F 00000019249854         </t>
  </si>
  <si>
    <t xml:space="preserve">941                      </t>
  </si>
  <si>
    <t>30/10/2023</t>
  </si>
  <si>
    <t>25</t>
  </si>
  <si>
    <t xml:space="preserve">943                      </t>
  </si>
  <si>
    <t>249131263</t>
  </si>
  <si>
    <t>F 00000019253779</t>
  </si>
  <si>
    <t>2023-10-08T00:00</t>
  </si>
  <si>
    <t>2023-11-10T00:00</t>
  </si>
  <si>
    <t>249130041</t>
  </si>
  <si>
    <t>F 00000019252557</t>
  </si>
  <si>
    <t>249130748</t>
  </si>
  <si>
    <t>F 00000019253264</t>
  </si>
  <si>
    <t>FACTURAS: 941-NC93-943-949</t>
  </si>
  <si>
    <t>FACTURAS: 928-929-934 y NC92</t>
  </si>
  <si>
    <t>F19252557</t>
  </si>
  <si>
    <t>F19253779</t>
  </si>
  <si>
    <t>F19253264</t>
  </si>
  <si>
    <t>REV ACUERDOS RAPEL 10-10-23</t>
  </si>
  <si>
    <t>BCI Confirming 3</t>
  </si>
  <si>
    <t>SIMULACIÓN 11/10/23</t>
  </si>
  <si>
    <t>pago ok 11-10-23</t>
  </si>
  <si>
    <t>11/10/2023</t>
  </si>
  <si>
    <t xml:space="preserve">F 00000019252557         </t>
  </si>
  <si>
    <t>19</t>
  </si>
  <si>
    <t xml:space="preserve">F 00000019253264         </t>
  </si>
  <si>
    <t xml:space="preserve">F 00000019253779         </t>
  </si>
  <si>
    <t xml:space="preserve">949                      </t>
  </si>
  <si>
    <t xml:space="preserve">952                      </t>
  </si>
  <si>
    <t>03/11/2023</t>
  </si>
  <si>
    <t>23</t>
  </si>
  <si>
    <t>249134131</t>
  </si>
  <si>
    <t>F 00000019258349</t>
  </si>
  <si>
    <t>2023-10-15T00:00</t>
  </si>
  <si>
    <t>2023-11-17T00:00</t>
  </si>
  <si>
    <t>249132927</t>
  </si>
  <si>
    <t>F 00000019257145</t>
  </si>
  <si>
    <t>249133647</t>
  </si>
  <si>
    <t>F 00000019257865</t>
  </si>
  <si>
    <t>FACTURAS: 952-973</t>
  </si>
  <si>
    <t>952 - 973</t>
  </si>
  <si>
    <t>Bci Confirming 4</t>
  </si>
  <si>
    <t>18/10/2023</t>
  </si>
  <si>
    <t xml:space="preserve">F 00000019257145         </t>
  </si>
  <si>
    <t>16</t>
  </si>
  <si>
    <t>1,05</t>
  </si>
  <si>
    <t xml:space="preserve">F 00000019257865         </t>
  </si>
  <si>
    <t xml:space="preserve">F 00000019258349         </t>
  </si>
  <si>
    <t xml:space="preserve">973                      </t>
  </si>
  <si>
    <t xml:space="preserve">976                      </t>
  </si>
  <si>
    <t>10/11/2023</t>
  </si>
  <si>
    <t xml:space="preserve">977                      </t>
  </si>
  <si>
    <t>pago ok 18-10-23</t>
  </si>
  <si>
    <t>Url Dte</t>
  </si>
  <si>
    <t>249136998</t>
  </si>
  <si>
    <t>F 00000019262025</t>
  </si>
  <si>
    <t>2023-10-22T00:00</t>
  </si>
  <si>
    <t>2023-11-24T00:00</t>
  </si>
  <si>
    <t>http://cencosud.paperless.cl:80/Facturacion/PDFServlet?docId=yOVnSc92wKBFTFxhgsWy0FJHlyXoWpGb</t>
  </si>
  <si>
    <t>249136996</t>
  </si>
  <si>
    <t>F 00000019262024</t>
  </si>
  <si>
    <t>http://cencosud.paperless.cl:80/Facturacion/PDFServlet?docId=yOVnSc92wKBFTFxhgsWy0ADwfZIlFYIX</t>
  </si>
  <si>
    <t>249136540</t>
  </si>
  <si>
    <t>F 00000019261567</t>
  </si>
  <si>
    <t>http://cencosud.paperless.cl:80/Facturacion/PDFServlet?docId=yOVnSc92wKBFTFxhgsWy0EQn0Yvc(MaS)rgb</t>
  </si>
  <si>
    <t>249136507</t>
  </si>
  <si>
    <t>F 00000019261566</t>
  </si>
  <si>
    <t>http://cencosud.paperless.cl:80/Facturacion/PDFServlet?docId=yOVnSc92wKBFTFxhgsWy0LqH4THBIqmc</t>
  </si>
  <si>
    <t>249135745</t>
  </si>
  <si>
    <t>F 00000019259972</t>
  </si>
  <si>
    <t>http://cencosud.paperless.cl:80/Facturacion/PDFServlet?docId=yOVnSc92wKBFTFxhgsWy0FcM8qBzMO/s</t>
  </si>
  <si>
    <t>REV ACUERDOS RAPEL 24-10-23</t>
  </si>
  <si>
    <t>976-977-980-986</t>
  </si>
  <si>
    <t>FACTURAS: 976-977-980-986</t>
  </si>
  <si>
    <t>991-992-993-994</t>
  </si>
  <si>
    <t>FACTURAS: 991-992-993-994</t>
  </si>
  <si>
    <t>REV ACUERDOS RAPEL 31-10-23</t>
  </si>
  <si>
    <t>249139439</t>
  </si>
  <si>
    <t>F 00000019266020</t>
  </si>
  <si>
    <t>2023-10-29T00:00</t>
  </si>
  <si>
    <t>2023-12-01T00:00</t>
  </si>
  <si>
    <t>http://cencosud.paperless.cl:80/Facturacion/PDFServlet?docId=yOVnSc92wKBFTFxhgsWy0NenrgwVg9bz</t>
  </si>
  <si>
    <t>249139829</t>
  </si>
  <si>
    <t>F 00000019266411</t>
  </si>
  <si>
    <t>http://cencosud.paperless.cl:80/Facturacion/PDFServlet?docId=yOVnSc92wKBFTFxhgsWy0JXcfS2ju(MaS)Ab</t>
  </si>
  <si>
    <t>249139831</t>
  </si>
  <si>
    <t>F 00000019266412</t>
  </si>
  <si>
    <t>http://cencosud.paperless.cl:80/Facturacion/PDFServlet?docId=yOVnSc92wKBFTFxhgsWy0Ji70htMYXCS</t>
  </si>
  <si>
    <t>249139438</t>
  </si>
  <si>
    <t>F 00000019266019</t>
  </si>
  <si>
    <t>http://cencosud.paperless.cl:80/Facturacion/PDFServlet?docId=yOVnSc92wKBFTFxhgsWy0Mfqr8xWfJjU</t>
  </si>
  <si>
    <t>F998-1003</t>
  </si>
  <si>
    <t>F995</t>
  </si>
  <si>
    <t>FACTURAS: 995-998-1003</t>
  </si>
  <si>
    <t>x</t>
  </si>
  <si>
    <t>249138760</t>
  </si>
  <si>
    <t>F 00000019265049</t>
  </si>
  <si>
    <t>http://cencosud.paperless.cl:80/Facturacion/PDFServlet?docId=yOVnSc92wKBFTFxhgsWy0EqdHj4ubTu8</t>
  </si>
  <si>
    <t>249142351</t>
  </si>
  <si>
    <t>F 00000019270495</t>
  </si>
  <si>
    <t>2023-10-31T00:00</t>
  </si>
  <si>
    <t>http://cencosud.paperless.cl:80/Facturacion/PDFServlet?docId=yOVnSc92wKBFTFxhgsWy0Bflcyi//UCw</t>
  </si>
  <si>
    <t>249141916</t>
  </si>
  <si>
    <t>F 00000019270061</t>
  </si>
  <si>
    <t>http://cencosud.paperless.cl:80/Facturacion/PDFServlet?docId=yOVnSc92wKBFTFxhgsWy0Hc8DWMENtvL</t>
  </si>
  <si>
    <t>249141374</t>
  </si>
  <si>
    <t>F 00000019269517</t>
  </si>
  <si>
    <t>http://cencosud.paperless.cl:80/Facturacion/PDFServlet?docId=yOVnSc92wKBFTFxhgsWy0M(MaS)kWZz8Zkxb</t>
  </si>
  <si>
    <t>FACTURAS: 1008</t>
  </si>
  <si>
    <t>F1008</t>
  </si>
  <si>
    <t>REV ACUERDOS RAPEL 02-11-23</t>
  </si>
  <si>
    <t>249143953</t>
  </si>
  <si>
    <t>F 00000019272422</t>
  </si>
  <si>
    <t>2023-11-02T00:00</t>
  </si>
  <si>
    <t>2023-12-08T00:00</t>
  </si>
  <si>
    <t>http://cencosud.paperless.cl:80/Facturacion/PDFServlet?docId=yOVnSc92wKBFTFxhgsWy0FgS9bEyhFby</t>
  </si>
  <si>
    <t>249146029</t>
  </si>
  <si>
    <t>F 00000019274698</t>
  </si>
  <si>
    <t>2023-11-05T00:00</t>
  </si>
  <si>
    <t>http://cencosud.paperless.cl:80/Facturacion/PDFServlet?docId=yOVnSc92wKBFTFxhgsWy0OExezxciPwb</t>
  </si>
  <si>
    <t>249145539</t>
  </si>
  <si>
    <t>F 00000019274208</t>
  </si>
  <si>
    <t>http://cencosud.paperless.cl:80/Facturacion/PDFServlet?docId=yOVnSc92wKBFTFxhgsWy0K9TXiQlfyBt</t>
  </si>
  <si>
    <t>249144934</t>
  </si>
  <si>
    <t>F 00000019273603</t>
  </si>
  <si>
    <t>http://cencosud.paperless.cl:80/Facturacion/PDFServlet?docId=yOVnSc92wKBFTFxhgsWy0AmHLNaIfxMB</t>
  </si>
  <si>
    <t>249143954</t>
  </si>
  <si>
    <t>F 00000019272423</t>
  </si>
  <si>
    <t>http://cencosud.paperless.cl:80/Facturacion/PDFServlet?docId=yOVnSc92wKBFTFxhgsWy0INCoy15NY/v</t>
  </si>
  <si>
    <t>REV ACUERDOS RAPEL 07-11-23</t>
  </si>
  <si>
    <t>FACTURAS: 1016</t>
  </si>
  <si>
    <t>F1016</t>
  </si>
  <si>
    <t>FECHA DE PAGO 10/11/23 - BCI</t>
  </si>
  <si>
    <t>MONTO</t>
  </si>
  <si>
    <t>PAGADA</t>
  </si>
  <si>
    <t>BCI</t>
  </si>
  <si>
    <t>249147500</t>
  </si>
  <si>
    <t>F 00000019277069</t>
  </si>
  <si>
    <t>2023-11-12T00:00</t>
  </si>
  <si>
    <t>2023-12-15T00:00</t>
  </si>
  <si>
    <t>http://cencosud.paperless.cl:80/Facturacion/PDFServlet?docId=yOVnSc92wKBFTFxhgsWy0JLAWgOPuJ4I</t>
  </si>
  <si>
    <t>249148170</t>
  </si>
  <si>
    <t>F 00000019277739</t>
  </si>
  <si>
    <t>http://cencosud.paperless.cl:80/Facturacion/PDFServlet?docId=yOVnSc92wKBFTFxhgsWy0B(MaS)ty2T3cKX5</t>
  </si>
  <si>
    <t>249148578</t>
  </si>
  <si>
    <t>F 00000019278147</t>
  </si>
  <si>
    <t>http://cencosud.paperless.cl:80/Facturacion/PDFServlet?docId=yOVnSc92wKBFTFxhgsWy0GHrRZXZoyxd</t>
  </si>
  <si>
    <t>REV ACUERDOS RAPEL 14-11-23</t>
  </si>
  <si>
    <t>F1031-1040-1041</t>
  </si>
  <si>
    <t>FACTURAS:F1031-1040-1041</t>
  </si>
  <si>
    <t>NC-105</t>
  </si>
  <si>
    <t>NC-106</t>
  </si>
  <si>
    <t>BCI Confirming 5</t>
  </si>
  <si>
    <t>pago ok 15-11-23</t>
  </si>
  <si>
    <t>SIMULACIÓN 15/11/23</t>
  </si>
  <si>
    <t>15/11/2023</t>
  </si>
  <si>
    <t xml:space="preserve">F 00000019259972         </t>
  </si>
  <si>
    <t>24/11/2023</t>
  </si>
  <si>
    <t>9</t>
  </si>
  <si>
    <t>1,02</t>
  </si>
  <si>
    <t xml:space="preserve">F 00000019261566         </t>
  </si>
  <si>
    <t xml:space="preserve">F 00000019261567         </t>
  </si>
  <si>
    <t xml:space="preserve">F 00000019262024         </t>
  </si>
  <si>
    <t xml:space="preserve">F 00000019262025         </t>
  </si>
  <si>
    <t xml:space="preserve">F 00000019265049         </t>
  </si>
  <si>
    <t xml:space="preserve">F 00000019266019         </t>
  </si>
  <si>
    <t xml:space="preserve">F 00000019266020         </t>
  </si>
  <si>
    <t xml:space="preserve">F 00000019266411         </t>
  </si>
  <si>
    <t xml:space="preserve">F 00000019266412         </t>
  </si>
  <si>
    <t xml:space="preserve">F 00000019269517         </t>
  </si>
  <si>
    <t xml:space="preserve">F 00000019270061         </t>
  </si>
  <si>
    <t xml:space="preserve">F 00000019270495         </t>
  </si>
  <si>
    <t xml:space="preserve">F 00000019272422         </t>
  </si>
  <si>
    <t xml:space="preserve">F 00000019272423         </t>
  </si>
  <si>
    <t xml:space="preserve">F 00000019273603         </t>
  </si>
  <si>
    <t xml:space="preserve">F 00000019274208         </t>
  </si>
  <si>
    <t xml:space="preserve">F 00000019274698         </t>
  </si>
  <si>
    <t xml:space="preserve">F 00000019277069         </t>
  </si>
  <si>
    <t xml:space="preserve">F 00000019277739         </t>
  </si>
  <si>
    <t xml:space="preserve">F 00000019278147         </t>
  </si>
  <si>
    <t xml:space="preserve">1008                     </t>
  </si>
  <si>
    <t xml:space="preserve">1016                     </t>
  </si>
  <si>
    <t xml:space="preserve">1031                     </t>
  </si>
  <si>
    <t>01/12/2023</t>
  </si>
  <si>
    <t xml:space="preserve">1040                     </t>
  </si>
  <si>
    <t xml:space="preserve">1041                     </t>
  </si>
  <si>
    <t xml:space="preserve">1044                     </t>
  </si>
  <si>
    <t>11/12/2023</t>
  </si>
  <si>
    <t>26</t>
  </si>
  <si>
    <t xml:space="preserve">1045                     </t>
  </si>
  <si>
    <t>FECHA DE PAGO 17/11/23 - BCI</t>
  </si>
  <si>
    <t>na</t>
  </si>
  <si>
    <t>249151512</t>
  </si>
  <si>
    <t>F 00000019281982</t>
  </si>
  <si>
    <t>2023-11-19T00:00</t>
  </si>
  <si>
    <t>2023-12-22T00:00</t>
  </si>
  <si>
    <t>http://cencosud.paperless.cl:80/Facturacion/PDFServlet?docId=yOVnSc92wKBFTFxhgsWy0M4IJcRf20AZ</t>
  </si>
  <si>
    <t>249150323</t>
  </si>
  <si>
    <t>F 00000019280792</t>
  </si>
  <si>
    <t>249151039</t>
  </si>
  <si>
    <t>F 00000019281508</t>
  </si>
  <si>
    <t>http://cencosud.paperless.cl:80/Facturacion/PDFServlet?docId=yOVnSc92wKBFTFxhgsWy0PbRfAN1XQ/w</t>
  </si>
  <si>
    <t>http://cencosud.paperless.cl:80/Facturacion/PDFServlet?docId=yOVnSc92wKBFTFxhgsWy0HWiR5fm2rht</t>
  </si>
  <si>
    <t>FACTURAS:F1044-NC105-1045-NC106-1049</t>
  </si>
  <si>
    <t>F1044-NC105-1045-NC106-1049</t>
  </si>
  <si>
    <t>pago ok 23-11-23</t>
  </si>
  <si>
    <t>23/11/2023</t>
  </si>
  <si>
    <t xml:space="preserve">F 00000019280792         </t>
  </si>
  <si>
    <t>18</t>
  </si>
  <si>
    <t xml:space="preserve">F 00000019281508         </t>
  </si>
  <si>
    <t xml:space="preserve">F 00000019281982         </t>
  </si>
  <si>
    <t xml:space="preserve">1049                     </t>
  </si>
  <si>
    <t xml:space="preserve">1055                     </t>
  </si>
  <si>
    <t>15/12/2023</t>
  </si>
  <si>
    <t xml:space="preserve">BCI Confirming 6 </t>
  </si>
  <si>
    <t>249153204</t>
  </si>
  <si>
    <t>F 00000019283976</t>
  </si>
  <si>
    <t>2023-11-26T00:00</t>
  </si>
  <si>
    <t>2023-12-29T00:00</t>
  </si>
  <si>
    <t>http://cencosud.paperless.cl:80/Facturacion/PDFServlet?docId=yOVnSc92wKBFTFxhgsWy0G6E45wNFKPC</t>
  </si>
  <si>
    <t>249154393</t>
  </si>
  <si>
    <t>F 00000019287165</t>
  </si>
  <si>
    <t>http://cencosud.paperless.cl:80/Facturacion/PDFServlet?docId=yOVnSc92wKBFTFxhgsWy0Pna3GxxxBFt</t>
  </si>
  <si>
    <t>249153885</t>
  </si>
  <si>
    <t>F 00000019286657</t>
  </si>
  <si>
    <t>http://cencosud.paperless.cl:80/Facturacion/PDFServlet?docId=yOVnSc92wKBFTFxhgsWy0IXkRrdW/f3O</t>
  </si>
  <si>
    <t>FACTURAS:F</t>
  </si>
  <si>
    <t>F</t>
  </si>
  <si>
    <t>Arándanos</t>
  </si>
  <si>
    <t>29/11/2023</t>
  </si>
  <si>
    <t xml:space="preserve">F 00000019283976         </t>
  </si>
  <si>
    <t xml:space="preserve">F 00000019286657         </t>
  </si>
  <si>
    <t xml:space="preserve">F 00000019287165         </t>
  </si>
  <si>
    <t xml:space="preserve">1060                     </t>
  </si>
  <si>
    <t xml:space="preserve">1067                     </t>
  </si>
  <si>
    <t>22/12/2023</t>
  </si>
  <si>
    <t>BCI Confirming 7</t>
  </si>
  <si>
    <t>NC-117 / F1044</t>
  </si>
  <si>
    <t>249155995</t>
  </si>
  <si>
    <t>F 00000020119558</t>
  </si>
  <si>
    <t>2023-11-30T00:00</t>
  </si>
  <si>
    <t>2024-01-05T00:00</t>
  </si>
  <si>
    <t>http://cencosud.paperless.cl:80/Facturacion/PDFServlet?docId=yOVnSc92wKCzhwOIuEcnA8SLQ1VvCOwQ</t>
  </si>
  <si>
    <t>249156698</t>
  </si>
  <si>
    <t>F 00000020120261</t>
  </si>
  <si>
    <t>http://cencosud.paperless.cl:80/Facturacion/PDFServlet?docId=yOVnSc92wKCzhwOIuEcnA7U5WOUgwyJQ</t>
  </si>
  <si>
    <t>249157118</t>
  </si>
  <si>
    <t>F 00000020120681</t>
  </si>
  <si>
    <t>http://cencosud.paperless.cl:80/Facturacion/PDFServlet?docId=yOVnSc92wKCzhwOIuEcnA965SEp7fgEC</t>
  </si>
  <si>
    <t>REV ACUERDOS RAPEL 04-12-23</t>
  </si>
  <si>
    <t>06/12/2023</t>
  </si>
  <si>
    <t xml:space="preserve">GE00000048301282         </t>
  </si>
  <si>
    <t>0,99</t>
  </si>
  <si>
    <t xml:space="preserve">F 00000020119558         </t>
  </si>
  <si>
    <t xml:space="preserve">F 00000020120261         </t>
  </si>
  <si>
    <t xml:space="preserve">F 00000020120681         </t>
  </si>
  <si>
    <t xml:space="preserve">F 00000020122954         </t>
  </si>
  <si>
    <t xml:space="preserve">1077                     </t>
  </si>
  <si>
    <t xml:space="preserve">1074                     </t>
  </si>
  <si>
    <t xml:space="preserve">1071                     </t>
  </si>
  <si>
    <t xml:space="preserve">1085                     </t>
  </si>
  <si>
    <t>29/12/2023</t>
  </si>
  <si>
    <t xml:space="preserve">1084                     </t>
  </si>
  <si>
    <t>pago ok 06-12-23</t>
  </si>
  <si>
    <t>BCI Confirming 8</t>
  </si>
  <si>
    <t>NC-121 / F1044</t>
  </si>
  <si>
    <t>REV ACUERDOS RAPEL 12-12-23</t>
  </si>
  <si>
    <t>249160014</t>
  </si>
  <si>
    <t>F 00000020124984</t>
  </si>
  <si>
    <t>2023-12-10T00:00</t>
  </si>
  <si>
    <t>2024-01-12T00:00</t>
  </si>
  <si>
    <t>http://cencosud.paperless.cl:80/Facturacion/PDFServlet?docId=yOVnSc92wKCzhwOIuEcnA5KE9G1G837h</t>
  </si>
  <si>
    <t>249160767</t>
  </si>
  <si>
    <t>F 00000020125737</t>
  </si>
  <si>
    <t>http://cencosud.paperless.cl:80/Facturacion/PDFServlet?docId=yOVnSc92wKCzhwOIuEcnA52YPLRP/vNo</t>
  </si>
  <si>
    <t>249161240</t>
  </si>
  <si>
    <t>F 00000020126210</t>
  </si>
  <si>
    <t>http://cencosud.paperless.cl:80/Facturacion/PDFServlet?docId=yOVnSc92wKCzhwOIuEcnAzL3M9tqoPQB</t>
  </si>
  <si>
    <t>FACTURAS:F1074-77-84-85-86</t>
  </si>
  <si>
    <t>F1074-77-84-85-86</t>
  </si>
  <si>
    <t>REV ACUERDOS RAPEL 19-12-23</t>
  </si>
  <si>
    <t>249163168</t>
  </si>
  <si>
    <t>F 00000020129341</t>
  </si>
  <si>
    <t>2023-12-17T00:00</t>
  </si>
  <si>
    <t>2024-01-19T00:00</t>
  </si>
  <si>
    <t>http://cencosud.paperless.cl:80/Facturacion/PDFServlet?docId=yOVnSc92wKCzhwOIuEcnA5aj(MaS)owaQtn(MaS)</t>
  </si>
  <si>
    <t>249164064</t>
  </si>
  <si>
    <t>F 00000020130237</t>
  </si>
  <si>
    <t>http://cencosud.paperless.cl:80/Facturacion/PDFServlet?docId=yOVnSc92wKCzhwOIuEcnA8mIIRjpNWPl</t>
  </si>
  <si>
    <t>249163834</t>
  </si>
  <si>
    <t>F 00000020130008</t>
  </si>
  <si>
    <t>http://cencosud.paperless.cl:80/Facturacion/PDFServlet?docId=yOVnSc92wKCzhwOIuEcnA/gQY08qdu8z</t>
  </si>
  <si>
    <t>FACTURAS:F1087-1088</t>
  </si>
  <si>
    <t>F1087-1088</t>
  </si>
  <si>
    <t>249165947</t>
  </si>
  <si>
    <t>F 00000020132130</t>
  </si>
  <si>
    <t>2023-12-24T00:00</t>
  </si>
  <si>
    <t>2024-01-26T00:00</t>
  </si>
  <si>
    <t>249167169</t>
  </si>
  <si>
    <t>F 00000020134252</t>
  </si>
  <si>
    <t>249166660</t>
  </si>
  <si>
    <t>F 00000020133743</t>
  </si>
  <si>
    <t>F1091 - 1093</t>
  </si>
  <si>
    <t>FACTURAS:F1091-1093</t>
  </si>
  <si>
    <t>REV ACUERDOS RAPEL 26-12-23</t>
  </si>
  <si>
    <t>Cerezas</t>
  </si>
  <si>
    <t>NC-135</t>
  </si>
  <si>
    <t>BCI Confirming 9</t>
  </si>
  <si>
    <t>pago ok 04-01-234</t>
  </si>
  <si>
    <t>04/01/2024</t>
  </si>
  <si>
    <t xml:space="preserve">F 00000020124984         </t>
  </si>
  <si>
    <t>12/01/2024</t>
  </si>
  <si>
    <t>8</t>
  </si>
  <si>
    <t>0,95</t>
  </si>
  <si>
    <t xml:space="preserve">F 00000020125737         </t>
  </si>
  <si>
    <t xml:space="preserve">F 00000020126210         </t>
  </si>
  <si>
    <t xml:space="preserve">F 00000020129341         </t>
  </si>
  <si>
    <t xml:space="preserve">F 00000020130008         </t>
  </si>
  <si>
    <t xml:space="preserve">F 00000020130237         </t>
  </si>
  <si>
    <t xml:space="preserve">F 00000020132130         </t>
  </si>
  <si>
    <t xml:space="preserve">F 00000020133743         </t>
  </si>
  <si>
    <t xml:space="preserve">F 00000020134252         </t>
  </si>
  <si>
    <t xml:space="preserve">F 00000020139064         </t>
  </si>
  <si>
    <t xml:space="preserve">F 00000020139856         </t>
  </si>
  <si>
    <t xml:space="preserve">F 00000020140019         </t>
  </si>
  <si>
    <t xml:space="preserve">F 00000020141636         </t>
  </si>
  <si>
    <t xml:space="preserve">1003                     </t>
  </si>
  <si>
    <t xml:space="preserve">1091                     </t>
  </si>
  <si>
    <t xml:space="preserve">1093                     </t>
  </si>
  <si>
    <t xml:space="preserve">1096                     </t>
  </si>
  <si>
    <t>19/01/2024</t>
  </si>
  <si>
    <t xml:space="preserve">1097                     </t>
  </si>
  <si>
    <t xml:space="preserve">1098                     </t>
  </si>
  <si>
    <t xml:space="preserve">1101                     </t>
  </si>
  <si>
    <t>26/01/2024</t>
  </si>
  <si>
    <t xml:space="preserve">1102                     </t>
  </si>
  <si>
    <t>REV ACUERDOS RAPEL 09-01-24</t>
  </si>
  <si>
    <t>249001626</t>
  </si>
  <si>
    <t>F 00000020144020</t>
  </si>
  <si>
    <t>2024-01-07T00:00</t>
  </si>
  <si>
    <t>2024-02-09T00:00</t>
  </si>
  <si>
    <t>http://cencosud.paperless.cl:80/Facturacion/PDFServlet?docId=yOVnSc92wKCzhwOIuEcnAxjO3jRBc1KN</t>
  </si>
  <si>
    <t>http://cencosud.paperless.cl:80/Facturacion/PDFServlet?docId=yOVnSc92wKCzhwOIuEcnA2I4O1hmQhEa</t>
  </si>
  <si>
    <t>F 00000020146377</t>
  </si>
  <si>
    <t>249003983</t>
  </si>
  <si>
    <t>http://cencosud.paperless.cl:80/Facturacion/PDFServlet?docId=yOVnSc92wKCzhwOIuEcnA8NsW4oiPIm5</t>
  </si>
  <si>
    <t>F 00000020146632</t>
  </si>
  <si>
    <t>249004238</t>
  </si>
  <si>
    <t>FACTURAS:F1101-1102</t>
  </si>
  <si>
    <t>F1101-1102</t>
  </si>
  <si>
    <t>249002999</t>
  </si>
  <si>
    <t>F 00000020145393</t>
  </si>
  <si>
    <t>http://cencosud.paperless.cl:80/Facturacion/PDFServlet?docId=yOVnSc92wKCzhwOIuEcnA2PW9pemK4HP</t>
  </si>
  <si>
    <t>249002401</t>
  </si>
  <si>
    <t>F 00000020144795</t>
  </si>
  <si>
    <t>http://cencosud.paperless.cl:80/Facturacion/PDFServlet?docId=yOVnSc92wKCzhwOIuEcnA1xYy(MaS)6mkFFX</t>
  </si>
  <si>
    <t>249001979</t>
  </si>
  <si>
    <t>F 00000020144373</t>
  </si>
  <si>
    <t>http://cencosud.paperless.cl:80/Facturacion/PDFServlet?docId=yOVnSc92wKCzhwOIuEcnAwoakpNZ7NWM</t>
  </si>
  <si>
    <t>FACTURAS:F1103-1105</t>
  </si>
  <si>
    <t>F1103-1105</t>
  </si>
  <si>
    <t>10/01/2024</t>
  </si>
  <si>
    <t xml:space="preserve">F 00000020144020         </t>
  </si>
  <si>
    <t>0,94</t>
  </si>
  <si>
    <t xml:space="preserve">F 00000020144373         </t>
  </si>
  <si>
    <t xml:space="preserve">F 00000020144795         </t>
  </si>
  <si>
    <t xml:space="preserve">F 00000020145393         </t>
  </si>
  <si>
    <t xml:space="preserve">F 00000020146377         </t>
  </si>
  <si>
    <t xml:space="preserve">F 00000020146632         </t>
  </si>
  <si>
    <t xml:space="preserve">1103                     </t>
  </si>
  <si>
    <t xml:space="preserve">1105                     </t>
  </si>
  <si>
    <t xml:space="preserve">1109                     </t>
  </si>
  <si>
    <t>02/02/2024</t>
  </si>
  <si>
    <t xml:space="preserve">1110                     </t>
  </si>
  <si>
    <t>pago ok 10-01-234</t>
  </si>
  <si>
    <t>BCI Confirming 10</t>
  </si>
  <si>
    <t>249005659</t>
  </si>
  <si>
    <t>F 00000020148053</t>
  </si>
  <si>
    <t>2024-01-14T00:00</t>
  </si>
  <si>
    <t>2024-02-16T00:00</t>
  </si>
  <si>
    <t>http://cencosud.paperless.cl:80/Facturacion/PDFServlet?docId=yOVnSc92wKCzhwOIuEcnA/LblFwSnBFX</t>
  </si>
  <si>
    <t>249007016</t>
  </si>
  <si>
    <t>F 00000020150410</t>
  </si>
  <si>
    <t>http://cencosud.paperless.cl:80/Facturacion/PDFServlet?docId=yOVnSc92wKCzhwOIuEcnA9RWjGJX9o4d</t>
  </si>
  <si>
    <t>249006254</t>
  </si>
  <si>
    <t>F 00000020149648</t>
  </si>
  <si>
    <t>http://cencosud.paperless.cl:80/Facturacion/PDFServlet?docId=yOVnSc92wKCzhwOIuEcnA5CKcpWSInEt</t>
  </si>
  <si>
    <t>FACTURAS:F1109-1110-1114</t>
  </si>
  <si>
    <t>REV ACUERDOS RAPEL 16-01-24</t>
  </si>
  <si>
    <t>F1109-1110-1114</t>
  </si>
  <si>
    <t>Etiquetas de fila</t>
  </si>
  <si>
    <t>Total general</t>
  </si>
  <si>
    <t>Suma de MONTO $</t>
  </si>
  <si>
    <t>(en blanco)</t>
  </si>
  <si>
    <t>ok</t>
  </si>
  <si>
    <t>dif1</t>
  </si>
  <si>
    <t>REV ACUERDOS RAPEL 12-03-24</t>
  </si>
  <si>
    <t>249032866</t>
  </si>
  <si>
    <t>F 00000020668801</t>
  </si>
  <si>
    <t>2024-03-10T00:00</t>
  </si>
  <si>
    <t>2024-04-12T00:00</t>
  </si>
  <si>
    <t>http://cencosud.paperless.cl:80/Facturacion/PDFServlet?docId=yOVnSc92wKAv4E(MaS)/GB0xC4RH1b8oc0OF</t>
  </si>
  <si>
    <t>249032454</t>
  </si>
  <si>
    <t>F 00000020668390</t>
  </si>
  <si>
    <t>http://cencosud.paperless.cl:80/Facturacion/PDFServlet?docId=yOVnSc92wKAv4E(MaS)/GB0xC8Hm(MaS)bX97kAH</t>
  </si>
  <si>
    <t>249031650</t>
  </si>
  <si>
    <t>F 00000020667586</t>
  </si>
  <si>
    <t>http://cencosud.paperless.cl:80/Facturacion/PDFServlet?docId=yOVnSc92wKAv4E(MaS)/GB0xC5bMscxsNrD3</t>
  </si>
  <si>
    <t>249017994</t>
  </si>
  <si>
    <t>F 00000020166508</t>
  </si>
  <si>
    <t>2024-02-03T00:00</t>
  </si>
  <si>
    <t>2024-03-22T00:00</t>
  </si>
  <si>
    <t>http://cencosud.paperless.cl:80/Facturacion/PDFServlet?docId=yOVnSc92wKCzhwOIuEcnA2k5hMzwyhCh</t>
  </si>
  <si>
    <t>249016807</t>
  </si>
  <si>
    <t>F 00000020165021</t>
  </si>
  <si>
    <t>http://cencosud.paperless.cl:80/Facturacion/PDFServlet?docId=yOVnSc92wKCzhwOIuEcnAxvO5NcngZaM</t>
  </si>
  <si>
    <t>F1129</t>
  </si>
  <si>
    <t>FACTURAS:F1129</t>
  </si>
  <si>
    <t>249036150</t>
  </si>
  <si>
    <t>F 00000020672987</t>
  </si>
  <si>
    <t>2024-03-17T00:00</t>
  </si>
  <si>
    <t>2024-04-19T00:00</t>
  </si>
  <si>
    <t>http://cencosud.paperless.cl:80/Facturacion/PDFServlet?docId=yOVnSc92wKAv4E(MaS)/GB0xCy1DW5DNjkHI</t>
  </si>
  <si>
    <t>249034642</t>
  </si>
  <si>
    <t>F 00000020671479</t>
  </si>
  <si>
    <t>http://cencosud.paperless.cl:80/Facturacion/PDFServlet?docId=yOVnSc92wKAv4E(MaS)/GB0xC4TVbQENliA6</t>
  </si>
  <si>
    <t>249035277</t>
  </si>
  <si>
    <t>F 00000020672114</t>
  </si>
  <si>
    <t>http://cencosud.paperless.cl:80/Facturacion/PDFServlet?docId=yOVnSc92wKAv4E(MaS)/GB0xC5tDx7kZLR4J</t>
  </si>
  <si>
    <t>FACTURAS:F1133-1134</t>
  </si>
  <si>
    <t>F1133-1134</t>
  </si>
  <si>
    <t>DSCTO EN DISPUTA</t>
  </si>
  <si>
    <t xml:space="preserve">REV ACUERDOS RAPEL </t>
  </si>
  <si>
    <t>249039298</t>
  </si>
  <si>
    <t>F 00000020677236</t>
  </si>
  <si>
    <t>2024-03-24T00:00</t>
  </si>
  <si>
    <t>2024-04-26T00:00</t>
  </si>
  <si>
    <t>http://cencosud.paperless.cl:80/Facturacion/PDFServlet?docId=yOVnSc92wKAv4E(MaS)/GB0xC3yIjuhsk2Y5</t>
  </si>
  <si>
    <t>249038592</t>
  </si>
  <si>
    <t>F 00000020676530</t>
  </si>
  <si>
    <t>http://cencosud.paperless.cl:80/Facturacion/PDFServlet?docId=yOVnSc92wKAv4E(MaS)/GB0xC6vmB4w6S2S(MaS)</t>
  </si>
  <si>
    <t>249037996</t>
  </si>
  <si>
    <t>F 00000020675834</t>
  </si>
  <si>
    <t>http://cencosud.paperless.cl:80/Facturacion/PDFServlet?docId=yOVnSc92wKAv4E(MaS)/GB0xC/7lROi7xDls</t>
  </si>
  <si>
    <t>FACTURAS:F1140-1150</t>
  </si>
  <si>
    <t>F1140-1150</t>
  </si>
  <si>
    <t xml:space="preserve">En Proceso </t>
  </si>
  <si>
    <t>Descucento mal imputado</t>
  </si>
  <si>
    <t>DISPUTA B2B</t>
  </si>
  <si>
    <t>DISPUTA</t>
  </si>
  <si>
    <t>NO APLICA</t>
  </si>
  <si>
    <t>F 00000020682675</t>
  </si>
  <si>
    <t>2024-03-31T00:00</t>
  </si>
  <si>
    <t>2024-05-03T00:00</t>
  </si>
  <si>
    <t>http://cencosud.paperless.cl:80/Facturacion/PDFServlet?docId=yOVnSc92wKAv4E(MaS)/GB0xCwg7AoQS645F</t>
  </si>
  <si>
    <t>F 00000020683389</t>
  </si>
  <si>
    <t>http://cencosud.paperless.cl:80/Facturacion/PDFServlet?docId=yOVnSc92wKAv4E(MaS)/GB0xC2vaCTo/eBQW</t>
  </si>
  <si>
    <t>F 00000020682100</t>
  </si>
  <si>
    <t>http://cencosud.paperless.cl:80/Facturacion/PDFServlet?docId=yOVnSc92wKAv4E(MaS)/GB0xC2O5jXQafuub</t>
  </si>
  <si>
    <t>FACTURAS:F1154-1155-1159-DSCTO DIF PRECIO Y CANT F.1134 $2.317.500</t>
  </si>
  <si>
    <t>F1154-1155-1159-DSCTO DIF PRECIO Y CANT F.1134 $2.317.500</t>
  </si>
  <si>
    <t>DSCTO EN DISPUTA (INGRESADA EN NOMINA DEL 05/04)</t>
  </si>
  <si>
    <t>Generaro los casos por la disputa al descuento mal imputado a la F.1134</t>
  </si>
  <si>
    <t>DCTO DIF PRECIO/CANT F.1134</t>
  </si>
  <si>
    <t>F 00000020685690</t>
  </si>
  <si>
    <t>2024-04-02T00:00</t>
  </si>
  <si>
    <t>http://cencosud.paperless.cl:80/Facturacion/PDFServlet?docId=yOVnSc92wKAv4E(MaS)/GB0xC5ct/CRPrZ3L</t>
  </si>
  <si>
    <t>Incluye la venta de Marzo y el dscto mal imputado a la F.1134</t>
  </si>
  <si>
    <t>NC-141</t>
  </si>
  <si>
    <t>249046605</t>
  </si>
  <si>
    <t>F 00000020689016</t>
  </si>
  <si>
    <t>2024-04-07T00:00</t>
  </si>
  <si>
    <t>2024-05-10T00:00</t>
  </si>
  <si>
    <t>http://cencosud.paperless.cl:80/Facturacion/PDFServlet?docId=yOVnSc92wKAv4E(MaS)/GB0xC/TrdPy5PKud</t>
  </si>
  <si>
    <t>249045638</t>
  </si>
  <si>
    <t>F 00000020688050</t>
  </si>
  <si>
    <t>http://cencosud.paperless.cl:80/Facturacion/PDFServlet?docId=yOVnSc92wKAv4E(MaS)/GB0xC0amGB5WXxW/</t>
  </si>
  <si>
    <t>249045051</t>
  </si>
  <si>
    <t>F 00000020687462</t>
  </si>
  <si>
    <t>http://cencosud.paperless.cl:80/Facturacion/PDFServlet?docId=yOVnSc92wKAv4E(MaS)/GB0xC2x7zCetrLqG</t>
  </si>
  <si>
    <t>FACTURAS:F1160</t>
  </si>
  <si>
    <t>F1160</t>
  </si>
  <si>
    <t>NC-143</t>
  </si>
  <si>
    <t>NC-144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</si>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</sst>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1" formatCode="_ * #,##0_ ;_ * \-#,##0_ ;_ * &quot;-&quot;_ ;_ @_ "/>
    <numFmt numFmtId="164" formatCode="&quot;$&quot;#,##0"/>
    <numFmt numFmtId="165" formatCode="0.0%"/>
    <numFmt numFmtId="166" formatCode="_ * #,##0.00_ ;_ * \-#,##0.00_ ;_ * &quot;-&quot;_ ;_ @_ 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rgb="FFC0000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 Light"/>
      <family val="2"/>
      <scheme val="maj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TAHOMA"/>
      <family val="2"/>
    </font>
    <font>
      <b/>
      <sz val="13.8"/>
      <color rgb="FFFF0000"/>
      <name val="TAHOMA"/>
      <family val="2"/>
    </font>
    <font>
      <sz val="9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 Light"/>
      <family val="2"/>
      <scheme val="major"/>
    </font>
    <font>
      <sz val="9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10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  <xf numFmtId="41" fontId="6" fillId="0" borderId="0" applyNumberFormat="0" applyFont="0" applyFill="0" applyBorder="0" applyAlignment="0" applyProtection="0"/>
  </cellStyleXfs>
  <cellXfs count="271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1" applyNumberFormat="1" applyFont="1" applyFill="1" applyBorder="1" applyAlignment="1"/>
    <xf numFmtId="41" fontId="0" fillId="0" borderId="0" xfId="0" applyNumberFormat="1"/>
    <xf numFmtId="164" fontId="5" fillId="0" borderId="1" xfId="1" applyNumberFormat="1" applyFont="1" applyFill="1" applyBorder="1" applyAlignment="1"/>
    <xf numFmtId="0" fontId="5" fillId="0" borderId="1" xfId="0" applyFont="1" applyBorder="1"/>
    <xf numFmtId="0" fontId="0" fillId="0" borderId="1" xfId="0" applyBorder="1"/>
    <xf numFmtId="41" fontId="5" fillId="0" borderId="0" xfId="0" applyNumberFormat="1" applyFont="1"/>
    <xf numFmtId="0" fontId="7" fillId="0" borderId="1" xfId="0" applyFont="1" applyBorder="1" applyAlignment="1">
      <alignment horizontal="left"/>
    </xf>
    <xf numFmtId="164" fontId="8" fillId="0" borderId="0" xfId="1" applyNumberFormat="1" applyFont="1" applyFill="1" applyBorder="1" applyAlignment="1"/>
    <xf numFmtId="0" fontId="6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164" fontId="9" fillId="3" borderId="1" xfId="1" applyNumberFormat="1" applyFont="1" applyFill="1" applyBorder="1"/>
    <xf numFmtId="41" fontId="3" fillId="3" borderId="1" xfId="1" applyFont="1" applyFill="1" applyBorder="1"/>
    <xf numFmtId="41" fontId="3" fillId="3" borderId="2" xfId="1" applyFont="1" applyFill="1" applyBorder="1"/>
    <xf numFmtId="41" fontId="3" fillId="4" borderId="2" xfId="1" applyFont="1" applyFill="1" applyBorder="1"/>
    <xf numFmtId="0" fontId="10" fillId="0" borderId="0" xfId="0" applyFont="1"/>
    <xf numFmtId="41" fontId="10" fillId="0" borderId="0" xfId="0" applyNumberFormat="1" applyFont="1"/>
    <xf numFmtId="0" fontId="11" fillId="0" borderId="0" xfId="0" applyFont="1"/>
    <xf numFmtId="14" fontId="11" fillId="0" borderId="0" xfId="0" applyNumberFormat="1" applyFont="1"/>
    <xf numFmtId="164" fontId="12" fillId="0" borderId="0" xfId="1" applyNumberFormat="1" applyFont="1"/>
    <xf numFmtId="41" fontId="11" fillId="0" borderId="0" xfId="1" applyFont="1" applyFill="1"/>
    <xf numFmtId="41" fontId="11" fillId="0" borderId="0" xfId="1" applyFont="1"/>
    <xf numFmtId="14" fontId="13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9" fontId="11" fillId="0" borderId="0" xfId="0" applyNumberFormat="1" applyFont="1"/>
    <xf numFmtId="41" fontId="14" fillId="5" borderId="0" xfId="1" applyFont="1" applyFill="1" applyBorder="1"/>
    <xf numFmtId="164" fontId="15" fillId="0" borderId="0" xfId="1" applyNumberFormat="1" applyFont="1" applyFill="1" applyBorder="1" applyAlignment="1"/>
    <xf numFmtId="41" fontId="14" fillId="6" borderId="0" xfId="1" applyFont="1" applyFill="1" applyBorder="1"/>
    <xf numFmtId="0" fontId="11" fillId="0" borderId="1" xfId="0" applyFont="1" applyBorder="1"/>
    <xf numFmtId="0" fontId="14" fillId="0" borderId="1" xfId="0" applyFont="1" applyBorder="1"/>
    <xf numFmtId="14" fontId="11" fillId="0" borderId="1" xfId="0" applyNumberFormat="1" applyFont="1" applyBorder="1"/>
    <xf numFmtId="9" fontId="11" fillId="0" borderId="1" xfId="0" applyNumberFormat="1" applyFont="1" applyBorder="1"/>
    <xf numFmtId="164" fontId="15" fillId="0" borderId="1" xfId="1" applyNumberFormat="1" applyFont="1" applyFill="1" applyBorder="1" applyAlignment="1"/>
    <xf numFmtId="41" fontId="14" fillId="3" borderId="1" xfId="1" applyFont="1" applyFill="1" applyBorder="1"/>
    <xf numFmtId="41" fontId="11" fillId="0" borderId="1" xfId="1" applyFont="1" applyBorder="1"/>
    <xf numFmtId="14" fontId="13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2" fillId="0" borderId="1" xfId="1" applyNumberFormat="1" applyFont="1" applyBorder="1"/>
    <xf numFmtId="41" fontId="11" fillId="0" borderId="1" xfId="1" applyFont="1" applyFill="1" applyBorder="1"/>
    <xf numFmtId="165" fontId="11" fillId="0" borderId="0" xfId="3" applyNumberFormat="1" applyFont="1"/>
    <xf numFmtId="41" fontId="11" fillId="0" borderId="3" xfId="1" applyFont="1" applyBorder="1"/>
    <xf numFmtId="0" fontId="2" fillId="0" borderId="0" xfId="0" applyFont="1"/>
    <xf numFmtId="0" fontId="16" fillId="9" borderId="12" xfId="5" applyNumberFormat="1" applyFont="1" applyFill="1" applyBorder="1" applyAlignment="1">
      <alignment horizontal="center"/>
    </xf>
    <xf numFmtId="0" fontId="18" fillId="7" borderId="0" xfId="0" applyFont="1" applyFill="1"/>
    <xf numFmtId="0" fontId="18" fillId="7" borderId="0" xfId="4" applyFont="1" applyFill="1"/>
    <xf numFmtId="0" fontId="17" fillId="0" borderId="0" xfId="4" applyFont="1"/>
    <xf numFmtId="0" fontId="18" fillId="7" borderId="11" xfId="0" quotePrefix="1" applyFont="1" applyFill="1" applyBorder="1" applyAlignment="1">
      <alignment horizontal="center"/>
    </xf>
    <xf numFmtId="3" fontId="18" fillId="7" borderId="11" xfId="0" applyNumberFormat="1" applyFont="1" applyFill="1" applyBorder="1" applyAlignment="1">
      <alignment horizontal="right"/>
    </xf>
    <xf numFmtId="0" fontId="18" fillId="7" borderId="11" xfId="0" applyFont="1" applyFill="1" applyBorder="1" applyAlignment="1">
      <alignment horizontal="center"/>
    </xf>
    <xf numFmtId="3" fontId="18" fillId="7" borderId="11" xfId="0" applyNumberFormat="1" applyFont="1" applyFill="1" applyBorder="1"/>
    <xf numFmtId="4" fontId="18" fillId="7" borderId="11" xfId="0" applyNumberFormat="1" applyFont="1" applyFill="1" applyBorder="1" applyAlignment="1">
      <alignment horizontal="right"/>
    </xf>
    <xf numFmtId="0" fontId="20" fillId="7" borderId="0" xfId="4" applyFont="1" applyFill="1"/>
    <xf numFmtId="0" fontId="21" fillId="7" borderId="4" xfId="0" applyFont="1" applyFill="1" applyBorder="1"/>
    <xf numFmtId="0" fontId="21" fillId="7" borderId="5" xfId="0" applyFont="1" applyFill="1" applyBorder="1" applyAlignment="1">
      <alignment horizontal="left"/>
    </xf>
    <xf numFmtId="0" fontId="21" fillId="7" borderId="5" xfId="0" applyFont="1" applyFill="1" applyBorder="1"/>
    <xf numFmtId="0" fontId="21" fillId="7" borderId="6" xfId="0" applyFont="1" applyFill="1" applyBorder="1"/>
    <xf numFmtId="3" fontId="21" fillId="7" borderId="5" xfId="0" applyNumberFormat="1" applyFont="1" applyFill="1" applyBorder="1"/>
    <xf numFmtId="3" fontId="21" fillId="7" borderId="5" xfId="0" applyNumberFormat="1" applyFont="1" applyFill="1" applyBorder="1" applyAlignment="1">
      <alignment horizontal="right"/>
    </xf>
    <xf numFmtId="0" fontId="21" fillId="7" borderId="7" xfId="0" applyFont="1" applyFill="1" applyBorder="1"/>
    <xf numFmtId="0" fontId="21" fillId="7" borderId="0" xfId="0" applyFont="1" applyFill="1"/>
    <xf numFmtId="0" fontId="21" fillId="7" borderId="0" xfId="0" quotePrefix="1" applyFont="1" applyFill="1"/>
    <xf numFmtId="3" fontId="21" fillId="7" borderId="0" xfId="0" applyNumberFormat="1" applyFont="1" applyFill="1"/>
    <xf numFmtId="3" fontId="21" fillId="7" borderId="0" xfId="0" applyNumberFormat="1" applyFont="1" applyFill="1" applyAlignment="1">
      <alignment horizontal="right"/>
    </xf>
    <xf numFmtId="0" fontId="21" fillId="7" borderId="0" xfId="0" applyFont="1" applyFill="1" applyAlignment="1">
      <alignment horizontal="left"/>
    </xf>
    <xf numFmtId="14" fontId="21" fillId="7" borderId="0" xfId="0" quotePrefix="1" applyNumberFormat="1" applyFont="1" applyFill="1" applyAlignment="1">
      <alignment horizontal="left"/>
    </xf>
    <xf numFmtId="3" fontId="21" fillId="7" borderId="0" xfId="0" applyNumberFormat="1" applyFont="1" applyFill="1" applyAlignment="1">
      <alignment horizontal="left"/>
    </xf>
    <xf numFmtId="0" fontId="21" fillId="7" borderId="8" xfId="0" applyFont="1" applyFill="1" applyBorder="1"/>
    <xf numFmtId="0" fontId="21" fillId="7" borderId="9" xfId="0" applyFont="1" applyFill="1" applyBorder="1"/>
    <xf numFmtId="0" fontId="22" fillId="7" borderId="10" xfId="0" applyFont="1" applyFill="1" applyBorder="1" applyAlignment="1">
      <alignment horizontal="center"/>
    </xf>
    <xf numFmtId="0" fontId="22" fillId="7" borderId="11" xfId="0" applyFont="1" applyFill="1" applyBorder="1" applyAlignment="1">
      <alignment horizontal="center"/>
    </xf>
    <xf numFmtId="0" fontId="21" fillId="7" borderId="11" xfId="0" quotePrefix="1" applyFont="1" applyFill="1" applyBorder="1" applyAlignment="1">
      <alignment horizontal="center"/>
    </xf>
    <xf numFmtId="3" fontId="21" fillId="7" borderId="11" xfId="0" applyNumberFormat="1" applyFont="1" applyFill="1" applyBorder="1" applyAlignment="1">
      <alignment horizontal="right"/>
    </xf>
    <xf numFmtId="0" fontId="21" fillId="7" borderId="11" xfId="0" applyFont="1" applyFill="1" applyBorder="1" applyAlignment="1">
      <alignment horizontal="center"/>
    </xf>
    <xf numFmtId="3" fontId="21" fillId="7" borderId="11" xfId="0" applyNumberFormat="1" applyFont="1" applyFill="1" applyBorder="1"/>
    <xf numFmtId="4" fontId="21" fillId="7" borderId="11" xfId="0" applyNumberFormat="1" applyFont="1" applyFill="1" applyBorder="1" applyAlignment="1">
      <alignment horizontal="right"/>
    </xf>
    <xf numFmtId="0" fontId="21" fillId="7" borderId="11" xfId="0" applyFont="1" applyFill="1" applyBorder="1"/>
    <xf numFmtId="0" fontId="22" fillId="7" borderId="0" xfId="0" applyFont="1" applyFill="1"/>
    <xf numFmtId="10" fontId="20" fillId="7" borderId="0" xfId="3" applyNumberFormat="1" applyFont="1" applyFill="1"/>
    <xf numFmtId="0" fontId="20" fillId="7" borderId="0" xfId="1" applyNumberFormat="1" applyFont="1" applyFill="1"/>
    <xf numFmtId="3" fontId="20" fillId="7" borderId="0" xfId="1" applyNumberFormat="1" applyFont="1" applyFill="1"/>
    <xf numFmtId="0" fontId="23" fillId="7" borderId="11" xfId="4" applyNumberFormat="1" applyFont="1" applyFill="1" applyBorder="1" applyAlignment="1">
      <alignment horizontal="center"/>
    </xf>
    <xf numFmtId="0" fontId="6" fillId="0" borderId="2" xfId="4" applyNumberFormat="1" applyFont="1" applyFill="1" applyBorder="1" applyAlignment="1"/>
    <xf numFmtId="166" fontId="20" fillId="7" borderId="0" xfId="1" applyNumberFormat="1" applyFont="1" applyFill="1"/>
    <xf numFmtId="1" fontId="20" fillId="7" borderId="0" xfId="1" applyNumberFormat="1" applyFont="1" applyFill="1"/>
    <xf numFmtId="0" fontId="24" fillId="0" borderId="0" xfId="1" applyNumberFormat="1" applyFont="1" applyFill="1" applyBorder="1" applyAlignment="1"/>
    <xf numFmtId="0" fontId="6" fillId="0" borderId="0" xfId="4" applyNumberFormat="1" applyFont="1" applyFill="1" applyBorder="1" applyAlignment="1"/>
    <xf numFmtId="3" fontId="20" fillId="7" borderId="11" xfId="4" applyNumberFormat="1" applyFont="1" applyFill="1" applyBorder="1" applyAlignment="1">
      <alignment horizontal="right"/>
    </xf>
    <xf numFmtId="3" fontId="20" fillId="8" borderId="0" xfId="4" applyNumberFormat="1" applyFont="1" applyFill="1"/>
    <xf numFmtId="0" fontId="24" fillId="0" borderId="0" xfId="0" applyFont="1"/>
    <xf numFmtId="4" fontId="20" fillId="7" borderId="0" xfId="4" applyNumberFormat="1" applyFont="1" applyFill="1"/>
    <xf numFmtId="0" fontId="20" fillId="7" borderId="0" xfId="4" applyFont="1" applyFill="1" applyAlignment="1">
      <alignment horizontal="right"/>
    </xf>
    <xf numFmtId="3" fontId="20" fillId="7" borderId="0" xfId="4" applyNumberFormat="1" applyFont="1" applyFill="1"/>
    <xf numFmtId="41" fontId="0" fillId="0" borderId="0" xfId="1" applyFont="1"/>
    <xf numFmtId="0" fontId="26" fillId="0" borderId="1" xfId="0" applyFont="1" applyBorder="1"/>
    <xf numFmtId="0" fontId="27" fillId="0" borderId="0" xfId="0" applyFont="1"/>
    <xf numFmtId="0" fontId="29" fillId="0" borderId="0" xfId="0" applyFont="1"/>
    <xf numFmtId="0" fontId="10" fillId="0" borderId="3" xfId="0" applyFont="1" applyBorder="1" applyAlignment="1">
      <alignment vertical="center"/>
    </xf>
    <xf numFmtId="10" fontId="10" fillId="0" borderId="3" xfId="3" applyNumberFormat="1" applyFont="1" applyBorder="1" applyAlignment="1">
      <alignment vertical="center"/>
    </xf>
    <xf numFmtId="41" fontId="10" fillId="0" borderId="3" xfId="1" applyFont="1" applyBorder="1" applyAlignment="1">
      <alignment vertical="center"/>
    </xf>
    <xf numFmtId="0" fontId="10" fillId="0" borderId="0" xfId="0" applyFont="1" applyAlignment="1">
      <alignment vertical="center"/>
    </xf>
    <xf numFmtId="41" fontId="10" fillId="0" borderId="0" xfId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41" fontId="10" fillId="0" borderId="1" xfId="1" applyFont="1" applyBorder="1" applyAlignment="1">
      <alignment vertical="center"/>
    </xf>
    <xf numFmtId="0" fontId="25" fillId="0" borderId="0" xfId="0" applyFont="1"/>
    <xf numFmtId="166" fontId="10" fillId="10" borderId="3" xfId="1" applyNumberFormat="1" applyFont="1" applyFill="1" applyBorder="1" applyAlignment="1">
      <alignment vertical="center"/>
    </xf>
    <xf numFmtId="0" fontId="10" fillId="10" borderId="0" xfId="0" applyFont="1" applyFill="1" applyAlignment="1">
      <alignment vertical="center"/>
    </xf>
    <xf numFmtId="41" fontId="10" fillId="10" borderId="0" xfId="1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41" fontId="10" fillId="10" borderId="1" xfId="1" applyFont="1" applyFill="1" applyBorder="1" applyAlignment="1">
      <alignment vertical="center"/>
    </xf>
    <xf numFmtId="14" fontId="10" fillId="10" borderId="3" xfId="0" applyNumberFormat="1" applyFont="1" applyFill="1" applyBorder="1" applyAlignment="1">
      <alignment vertical="center"/>
    </xf>
    <xf numFmtId="10" fontId="10" fillId="0" borderId="1" xfId="3" applyNumberFormat="1" applyFont="1" applyBorder="1" applyAlignment="1">
      <alignment vertical="center"/>
    </xf>
    <xf numFmtId="10" fontId="10" fillId="0" borderId="0" xfId="3" applyNumberFormat="1" applyFont="1" applyBorder="1" applyAlignment="1">
      <alignment vertical="center"/>
    </xf>
    <xf numFmtId="14" fontId="11" fillId="0" borderId="1" xfId="0" applyNumberFormat="1" applyFont="1" applyBorder="1" applyAlignment="1">
      <alignment horizontal="right"/>
    </xf>
    <xf numFmtId="0" fontId="28" fillId="0" borderId="1" xfId="0" applyFont="1" applyBorder="1"/>
    <xf numFmtId="0" fontId="31" fillId="9" borderId="12" xfId="0" applyFont="1" applyFill="1" applyBorder="1" applyAlignment="1">
      <alignment horizontal="center"/>
    </xf>
    <xf numFmtId="0" fontId="0" fillId="0" borderId="12" xfId="0" applyBorder="1"/>
    <xf numFmtId="9" fontId="24" fillId="0" borderId="0" xfId="0" applyNumberFormat="1" applyFont="1"/>
    <xf numFmtId="41" fontId="0" fillId="0" borderId="12" xfId="1" applyFont="1" applyBorder="1"/>
    <xf numFmtId="41" fontId="2" fillId="0" borderId="0" xfId="1" applyFont="1"/>
    <xf numFmtId="42" fontId="24" fillId="0" borderId="11" xfId="2" applyFont="1" applyFill="1" applyBorder="1" applyAlignment="1"/>
    <xf numFmtId="0" fontId="6" fillId="0" borderId="0" xfId="0" applyFont="1"/>
    <xf numFmtId="0" fontId="5" fillId="0" borderId="2" xfId="0" applyFont="1" applyBorder="1" applyAlignment="1">
      <alignment horizontal="center"/>
    </xf>
    <xf numFmtId="1" fontId="24" fillId="0" borderId="0" xfId="5" applyNumberFormat="1" applyFont="1" applyFill="1" applyBorder="1" applyAlignment="1"/>
    <xf numFmtId="9" fontId="6" fillId="0" borderId="0" xfId="0" applyNumberFormat="1" applyFont="1"/>
    <xf numFmtId="164" fontId="24" fillId="0" borderId="0" xfId="5" applyNumberFormat="1" applyFont="1" applyFill="1" applyBorder="1" applyAlignment="1"/>
    <xf numFmtId="42" fontId="24" fillId="0" borderId="0" xfId="5" applyNumberFormat="1" applyFont="1" applyFill="1" applyBorder="1" applyAlignment="1"/>
    <xf numFmtId="1" fontId="6" fillId="0" borderId="0" xfId="5" applyNumberFormat="1" applyFont="1" applyFill="1" applyBorder="1" applyAlignment="1"/>
    <xf numFmtId="9" fontId="6" fillId="0" borderId="1" xfId="0" applyNumberFormat="1" applyFont="1" applyBorder="1"/>
    <xf numFmtId="0" fontId="6" fillId="0" borderId="2" xfId="0" applyFont="1" applyBorder="1"/>
    <xf numFmtId="42" fontId="24" fillId="0" borderId="2" xfId="0" applyNumberFormat="1" applyFont="1" applyBorder="1"/>
    <xf numFmtId="0" fontId="24" fillId="0" borderId="2" xfId="0" applyFont="1" applyBorder="1"/>
    <xf numFmtId="0" fontId="32" fillId="0" borderId="0" xfId="0" applyFont="1"/>
    <xf numFmtId="0" fontId="33" fillId="0" borderId="0" xfId="0" applyFont="1" applyAlignment="1">
      <alignment horizontal="left"/>
    </xf>
    <xf numFmtId="164" fontId="34" fillId="0" borderId="0" xfId="5" applyNumberFormat="1" applyFont="1" applyFill="1" applyBorder="1" applyAlignment="1"/>
    <xf numFmtId="41" fontId="32" fillId="0" borderId="0" xfId="5" applyFont="1" applyFill="1"/>
    <xf numFmtId="41" fontId="33" fillId="0" borderId="0" xfId="5" applyFont="1" applyFill="1"/>
    <xf numFmtId="14" fontId="33" fillId="0" borderId="0" xfId="0" applyNumberFormat="1" applyFont="1"/>
    <xf numFmtId="164" fontId="35" fillId="0" borderId="0" xfId="5" applyNumberFormat="1" applyFont="1" applyFill="1" applyBorder="1" applyAlignment="1"/>
    <xf numFmtId="41" fontId="14" fillId="0" borderId="0" xfId="5" applyFont="1" applyFill="1"/>
    <xf numFmtId="41" fontId="33" fillId="4" borderId="0" xfId="5" applyFont="1" applyFill="1"/>
    <xf numFmtId="14" fontId="13" fillId="4" borderId="0" xfId="0" applyNumberFormat="1" applyFont="1" applyFill="1"/>
    <xf numFmtId="0" fontId="11" fillId="0" borderId="2" xfId="0" applyFont="1" applyBorder="1"/>
    <xf numFmtId="0" fontId="14" fillId="0" borderId="2" xfId="0" applyFont="1" applyBorder="1"/>
    <xf numFmtId="14" fontId="11" fillId="0" borderId="2" xfId="0" applyNumberFormat="1" applyFont="1" applyBorder="1"/>
    <xf numFmtId="164" fontId="12" fillId="0" borderId="2" xfId="1" applyNumberFormat="1" applyFont="1" applyBorder="1"/>
    <xf numFmtId="41" fontId="11" fillId="0" borderId="2" xfId="1" applyFont="1" applyFill="1" applyBorder="1"/>
    <xf numFmtId="41" fontId="11" fillId="0" borderId="2" xfId="1" applyFont="1" applyBorder="1"/>
    <xf numFmtId="14" fontId="13" fillId="0" borderId="2" xfId="0" applyNumberFormat="1" applyFont="1" applyBorder="1"/>
    <xf numFmtId="0" fontId="13" fillId="0" borderId="2" xfId="0" applyFont="1" applyBorder="1" applyAlignment="1">
      <alignment horizontal="right"/>
    </xf>
    <xf numFmtId="0" fontId="0" fillId="0" borderId="0" xfId="0" applyAlignment="1">
      <alignment horizontal="left"/>
    </xf>
    <xf numFmtId="41" fontId="0" fillId="0" borderId="0" xfId="1" applyFont="1" applyAlignment="1">
      <alignment horizontal="left"/>
    </xf>
    <xf numFmtId="41" fontId="0" fillId="0" borderId="1" xfId="1" applyFont="1" applyBorder="1"/>
    <xf numFmtId="0" fontId="0" fillId="0" borderId="2" xfId="0" applyBorder="1"/>
    <xf numFmtId="41" fontId="0" fillId="0" borderId="2" xfId="1" applyFont="1" applyBorder="1"/>
    <xf numFmtId="14" fontId="10" fillId="10" borderId="0" xfId="0" applyNumberFormat="1" applyFont="1" applyFill="1" applyAlignment="1">
      <alignment vertical="center"/>
    </xf>
    <xf numFmtId="4" fontId="10" fillId="10" borderId="0" xfId="0" applyNumberFormat="1" applyFont="1" applyFill="1" applyAlignment="1">
      <alignment vertical="center"/>
    </xf>
    <xf numFmtId="0" fontId="32" fillId="0" borderId="0" xfId="0" applyFont="1" applyAlignment="1">
      <alignment horizontal="left"/>
    </xf>
    <xf numFmtId="14" fontId="32" fillId="0" borderId="0" xfId="0" applyNumberFormat="1" applyFont="1"/>
    <xf numFmtId="41" fontId="37" fillId="10" borderId="0" xfId="1" applyFont="1" applyFill="1" applyBorder="1" applyAlignment="1">
      <alignment vertical="center"/>
    </xf>
    <xf numFmtId="10" fontId="37" fillId="0" borderId="0" xfId="3" applyNumberFormat="1" applyFont="1" applyBorder="1" applyAlignment="1">
      <alignment vertical="center"/>
    </xf>
    <xf numFmtId="41" fontId="37" fillId="0" borderId="0" xfId="1" applyFont="1" applyBorder="1" applyAlignment="1">
      <alignment vertical="center"/>
    </xf>
    <xf numFmtId="14" fontId="11" fillId="0" borderId="2" xfId="1" applyNumberFormat="1" applyFont="1" applyBorder="1"/>
    <xf numFmtId="14" fontId="11" fillId="0" borderId="0" xfId="1" applyNumberFormat="1" applyFont="1"/>
    <xf numFmtId="14" fontId="11" fillId="0" borderId="1" xfId="1" applyNumberFormat="1" applyFont="1" applyBorder="1"/>
    <xf numFmtId="14" fontId="11" fillId="0" borderId="0" xfId="1" applyNumberFormat="1" applyFont="1" applyBorder="1"/>
    <xf numFmtId="0" fontId="20" fillId="7" borderId="0" xfId="0" applyFont="1" applyFill="1"/>
    <xf numFmtId="0" fontId="23" fillId="7" borderId="11" xfId="0" applyFont="1" applyFill="1" applyBorder="1" applyAlignment="1">
      <alignment horizontal="center"/>
    </xf>
    <xf numFmtId="3" fontId="20" fillId="7" borderId="11" xfId="0" applyNumberFormat="1" applyFont="1" applyFill="1" applyBorder="1" applyAlignment="1">
      <alignment horizontal="right"/>
    </xf>
    <xf numFmtId="0" fontId="9" fillId="10" borderId="2" xfId="0" applyFont="1" applyFill="1" applyBorder="1"/>
    <xf numFmtId="41" fontId="9" fillId="10" borderId="2" xfId="1" applyFont="1" applyFill="1" applyBorder="1"/>
    <xf numFmtId="2" fontId="0" fillId="0" borderId="12" xfId="1" applyNumberFormat="1" applyFont="1" applyFill="1" applyBorder="1" applyAlignment="1"/>
    <xf numFmtId="41" fontId="6" fillId="0" borderId="0" xfId="0" applyNumberFormat="1" applyFont="1"/>
    <xf numFmtId="41" fontId="6" fillId="0" borderId="1" xfId="0" applyNumberFormat="1" applyFont="1" applyBorder="1"/>
    <xf numFmtId="0" fontId="38" fillId="9" borderId="12" xfId="0" applyFont="1" applyFill="1" applyBorder="1" applyAlignment="1">
      <alignment horizontal="center"/>
    </xf>
    <xf numFmtId="41" fontId="14" fillId="0" borderId="0" xfId="1" applyFont="1"/>
    <xf numFmtId="41" fontId="14" fillId="0" borderId="1" xfId="1" applyFont="1" applyBorder="1"/>
    <xf numFmtId="0" fontId="39" fillId="0" borderId="0" xfId="0" applyFont="1"/>
    <xf numFmtId="0" fontId="24" fillId="0" borderId="12" xfId="0" applyFont="1" applyBorder="1"/>
    <xf numFmtId="2" fontId="24" fillId="0" borderId="12" xfId="0" applyNumberFormat="1" applyFont="1" applyBorder="1"/>
    <xf numFmtId="0" fontId="10" fillId="3" borderId="1" xfId="0" applyFont="1" applyFill="1" applyBorder="1"/>
    <xf numFmtId="41" fontId="40" fillId="10" borderId="2" xfId="1" applyFont="1" applyFill="1" applyBorder="1"/>
    <xf numFmtId="10" fontId="11" fillId="0" borderId="2" xfId="0" applyNumberFormat="1" applyFont="1" applyBorder="1"/>
    <xf numFmtId="0" fontId="5" fillId="0" borderId="2" xfId="0" applyFont="1" applyBorder="1"/>
    <xf numFmtId="165" fontId="24" fillId="0" borderId="0" xfId="0" applyNumberFormat="1" applyFont="1"/>
    <xf numFmtId="42" fontId="24" fillId="0" borderId="3" xfId="5" applyNumberFormat="1" applyFont="1" applyFill="1" applyBorder="1" applyAlignment="1"/>
    <xf numFmtId="42" fontId="24" fillId="0" borderId="1" xfId="5" applyNumberFormat="1" applyFont="1" applyFill="1" applyBorder="1" applyAlignment="1"/>
    <xf numFmtId="14" fontId="5" fillId="0" borderId="0" xfId="0" applyNumberFormat="1" applyFont="1"/>
    <xf numFmtId="14" fontId="5" fillId="0" borderId="1" xfId="0" applyNumberFormat="1" applyFont="1" applyBorder="1"/>
    <xf numFmtId="14" fontId="0" fillId="0" borderId="0" xfId="0" applyNumberFormat="1"/>
    <xf numFmtId="14" fontId="3" fillId="4" borderId="2" xfId="1" applyNumberFormat="1" applyFont="1" applyFill="1" applyBorder="1"/>
    <xf numFmtId="14" fontId="14" fillId="0" borderId="0" xfId="1" applyNumberFormat="1" applyFont="1"/>
    <xf numFmtId="14" fontId="32" fillId="0" borderId="0" xfId="5" applyNumberFormat="1" applyFont="1" applyFill="1"/>
    <xf numFmtId="41" fontId="32" fillId="4" borderId="0" xfId="5" applyFont="1" applyFill="1"/>
    <xf numFmtId="14" fontId="14" fillId="0" borderId="1" xfId="1" applyNumberFormat="1" applyFont="1" applyBorder="1"/>
    <xf numFmtId="41" fontId="13" fillId="0" borderId="0" xfId="0" applyNumberFormat="1" applyFont="1"/>
    <xf numFmtId="2" fontId="0" fillId="0" borderId="12" xfId="0" applyNumberFormat="1" applyBorder="1"/>
    <xf numFmtId="14" fontId="14" fillId="0" borderId="0" xfId="1" applyNumberFormat="1" applyFont="1" applyBorder="1"/>
    <xf numFmtId="41" fontId="10" fillId="10" borderId="3" xfId="1" applyFont="1" applyFill="1" applyBorder="1" applyAlignment="1">
      <alignment vertical="center"/>
    </xf>
    <xf numFmtId="9" fontId="11" fillId="0" borderId="2" xfId="0" applyNumberFormat="1" applyFont="1" applyBorder="1"/>
    <xf numFmtId="164" fontId="15" fillId="0" borderId="2" xfId="1" applyNumberFormat="1" applyFont="1" applyFill="1" applyBorder="1" applyAlignment="1"/>
    <xf numFmtId="41" fontId="14" fillId="3" borderId="2" xfId="1" applyFont="1" applyFill="1" applyBorder="1"/>
    <xf numFmtId="0" fontId="32" fillId="0" borderId="2" xfId="0" applyFont="1" applyBorder="1" applyAlignment="1">
      <alignment horizontal="left"/>
    </xf>
    <xf numFmtId="0" fontId="32" fillId="0" borderId="2" xfId="0" applyFont="1" applyBorder="1"/>
    <xf numFmtId="0" fontId="32" fillId="0" borderId="0" xfId="0" applyFont="1" applyAlignment="1">
      <alignment horizontal="right"/>
    </xf>
    <xf numFmtId="41" fontId="32" fillId="0" borderId="0" xfId="0" applyNumberFormat="1" applyFont="1" applyAlignment="1">
      <alignment horizontal="right"/>
    </xf>
    <xf numFmtId="0" fontId="37" fillId="0" borderId="0" xfId="0" applyFont="1"/>
    <xf numFmtId="4" fontId="10" fillId="10" borderId="0" xfId="0" applyNumberFormat="1" applyFont="1" applyFill="1" applyAlignment="1">
      <alignment vertical="center" wrapText="1"/>
    </xf>
    <xf numFmtId="0" fontId="0" fillId="0" borderId="0" xfId="0" pivotButton="1"/>
    <xf numFmtId="0" fontId="4" fillId="3" borderId="0" xfId="0" applyFont="1" applyFill="1"/>
    <xf numFmtId="2" fontId="0" fillId="0" borderId="0" xfId="0" applyNumberFormat="1"/>
    <xf numFmtId="42" fontId="24" fillId="0" borderId="0" xfId="2" applyFont="1" applyFill="1" applyBorder="1" applyAlignment="1"/>
    <xf numFmtId="164" fontId="12" fillId="0" borderId="0" xfId="1" applyNumberFormat="1" applyFont="1" applyBorder="1"/>
    <xf numFmtId="164" fontId="41" fillId="0" borderId="0" xfId="1" applyNumberFormat="1" applyFont="1" applyFill="1" applyBorder="1" applyAlignment="1"/>
    <xf numFmtId="0" fontId="42" fillId="0" borderId="0" xfId="0" applyFont="1"/>
    <xf numFmtId="14" fontId="14" fillId="0" borderId="0" xfId="0" applyNumberFormat="1" applyFont="1"/>
    <xf numFmtId="164" fontId="15" fillId="0" borderId="0" xfId="1" applyNumberFormat="1" applyFont="1"/>
    <xf numFmtId="0" fontId="11" fillId="11" borderId="0" xfId="0" applyFont="1" applyFill="1"/>
    <xf numFmtId="0" fontId="32" fillId="11" borderId="0" xfId="0" applyFont="1" applyFill="1" applyAlignment="1">
      <alignment horizontal="left"/>
    </xf>
    <xf numFmtId="0" fontId="32" fillId="11" borderId="0" xfId="0" applyFont="1" applyFill="1"/>
    <xf numFmtId="14" fontId="32" fillId="11" borderId="0" xfId="0" applyNumberFormat="1" applyFont="1" applyFill="1"/>
    <xf numFmtId="0" fontId="5" fillId="11" borderId="0" xfId="0" applyFont="1" applyFill="1"/>
    <xf numFmtId="164" fontId="35" fillId="11" borderId="0" xfId="5" applyNumberFormat="1" applyFont="1" applyFill="1" applyBorder="1" applyAlignment="1"/>
    <xf numFmtId="14" fontId="13" fillId="11" borderId="0" xfId="0" applyNumberFormat="1" applyFont="1" applyFill="1"/>
    <xf numFmtId="41" fontId="32" fillId="11" borderId="0" xfId="5" applyFont="1" applyFill="1"/>
    <xf numFmtId="14" fontId="32" fillId="11" borderId="0" xfId="5" applyNumberFormat="1" applyFont="1" applyFill="1"/>
    <xf numFmtId="164" fontId="43" fillId="0" borderId="0" xfId="1" applyNumberFormat="1" applyFont="1" applyFill="1" applyBorder="1" applyAlignment="1"/>
    <xf numFmtId="41" fontId="33" fillId="11" borderId="0" xfId="5" applyFont="1" applyFill="1"/>
    <xf numFmtId="41" fontId="14" fillId="0" borderId="0" xfId="5" applyFont="1" applyFill="1" applyBorder="1"/>
    <xf numFmtId="41" fontId="32" fillId="4" borderId="0" xfId="5" applyFont="1" applyFill="1" applyBorder="1"/>
    <xf numFmtId="41" fontId="11" fillId="0" borderId="0" xfId="1" applyFont="1" applyBorder="1"/>
    <xf numFmtId="10" fontId="4" fillId="0" borderId="1" xfId="0" applyNumberFormat="1" applyFont="1" applyBorder="1" applyAlignment="1">
      <alignment horizontal="center" wrapText="1"/>
    </xf>
    <xf numFmtId="14" fontId="14" fillId="0" borderId="0" xfId="5" applyNumberFormat="1" applyFont="1" applyFill="1"/>
    <xf numFmtId="14" fontId="32" fillId="0" borderId="1" xfId="0" applyNumberFormat="1" applyFont="1" applyBorder="1"/>
    <xf numFmtId="41" fontId="13" fillId="0" borderId="0" xfId="0" applyNumberFormat="1" applyFont="1" applyAlignment="1">
      <alignment horizontal="right"/>
    </xf>
    <xf numFmtId="41" fontId="44" fillId="8" borderId="0" xfId="1" applyFont="1" applyFill="1"/>
    <xf numFmtId="41" fontId="13" fillId="0" borderId="1" xfId="0" applyNumberFormat="1" applyFont="1" applyBorder="1" applyAlignment="1">
      <alignment horizontal="right"/>
    </xf>
    <xf numFmtId="14" fontId="32" fillId="0" borderId="0" xfId="0" applyNumberFormat="1" applyFont="1" applyAlignment="1">
      <alignment horizontal="right"/>
    </xf>
    <xf numFmtId="14" fontId="32" fillId="0" borderId="1" xfId="0" applyNumberFormat="1" applyFont="1" applyBorder="1" applyAlignment="1">
      <alignment horizontal="right"/>
    </xf>
    <xf numFmtId="0" fontId="21" fillId="7" borderId="11" xfId="0" applyFont="1" applyFill="1" applyBorder="1"/>
    <xf numFmtId="0" fontId="20" fillId="7" borderId="11" xfId="0" applyFont="1" applyFill="1" applyBorder="1"/>
    <xf numFmtId="0" fontId="21" fillId="7" borderId="11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right"/>
    </xf>
    <xf numFmtId="0" fontId="21" fillId="7" borderId="11" xfId="0" applyFont="1" applyFill="1" applyBorder="1" applyAlignment="1">
      <alignment horizontal="center"/>
    </xf>
    <xf numFmtId="14" fontId="21" fillId="7" borderId="11" xfId="0" applyNumberFormat="1" applyFont="1" applyFill="1" applyBorder="1" applyAlignment="1">
      <alignment horizontal="center"/>
    </xf>
    <xf numFmtId="0" fontId="0" fillId="0" borderId="11" xfId="0" applyBorder="1"/>
    <xf numFmtId="0" fontId="19" fillId="7" borderId="0" xfId="0" applyFont="1" applyFill="1" applyAlignment="1">
      <alignment horizontal="left"/>
    </xf>
    <xf numFmtId="0" fontId="18" fillId="7" borderId="0" xfId="0" applyFont="1" applyFill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0" fillId="0" borderId="10" xfId="0" applyBorder="1"/>
    <xf numFmtId="41" fontId="4" fillId="0" borderId="3" xfId="0" applyNumberFormat="1" applyFont="1" applyBorder="1" applyAlignment="1">
      <alignment horizontal="center" wrapText="1"/>
    </xf>
    <xf numFmtId="41" fontId="4" fillId="0" borderId="0" xfId="0" applyNumberFormat="1" applyFont="1" applyAlignment="1">
      <alignment horizontal="center" wrapText="1"/>
    </xf>
    <xf numFmtId="41" fontId="4" fillId="0" borderId="1" xfId="0" applyNumberFormat="1" applyFont="1" applyBorder="1" applyAlignment="1">
      <alignment horizontal="center" wrapText="1"/>
    </xf>
    <xf numFmtId="0" fontId="18" fillId="7" borderId="11" xfId="0" applyFont="1" applyFill="1" applyBorder="1" applyAlignment="1">
      <alignment horizontal="left"/>
    </xf>
    <xf numFmtId="0" fontId="2" fillId="0" borderId="11" xfId="0" applyFont="1" applyBorder="1"/>
    <xf numFmtId="0" fontId="18" fillId="7" borderId="11" xfId="0" applyFont="1" applyFill="1" applyBorder="1" applyAlignment="1">
      <alignment horizontal="right"/>
    </xf>
    <xf numFmtId="0" fontId="18" fillId="7" borderId="11" xfId="0" applyFont="1" applyFill="1" applyBorder="1" applyAlignment="1">
      <alignment horizontal="center"/>
    </xf>
    <xf numFmtId="14" fontId="18" fillId="7" borderId="11" xfId="0" applyNumberFormat="1" applyFont="1" applyFill="1" applyBorder="1" applyAlignment="1">
      <alignment horizontal="center"/>
    </xf>
    <xf numFmtId="0" fontId="18" fillId="7" borderId="13" xfId="0" applyFont="1" applyFill="1" applyBorder="1" applyAlignment="1">
      <alignment horizontal="left"/>
    </xf>
    <xf numFmtId="0" fontId="18" fillId="7" borderId="14" xfId="0" applyFont="1" applyFill="1" applyBorder="1" applyAlignment="1">
      <alignment horizontal="left"/>
    </xf>
    <xf numFmtId="0" fontId="18" fillId="7" borderId="13" xfId="0" applyFont="1" applyFill="1" applyBorder="1" applyAlignment="1">
      <alignment horizontal="right"/>
    </xf>
    <xf numFmtId="0" fontId="18" fillId="7" borderId="14" xfId="0" applyFont="1" applyFill="1" applyBorder="1" applyAlignment="1">
      <alignment horizontal="right"/>
    </xf>
    <xf numFmtId="0" fontId="18" fillId="7" borderId="13" xfId="0" applyFont="1" applyFill="1" applyBorder="1" applyAlignment="1">
      <alignment horizontal="center"/>
    </xf>
    <xf numFmtId="0" fontId="18" fillId="7" borderId="14" xfId="0" applyFont="1" applyFill="1" applyBorder="1" applyAlignment="1">
      <alignment horizontal="center"/>
    </xf>
    <xf numFmtId="14" fontId="18" fillId="7" borderId="13" xfId="0" applyNumberFormat="1" applyFont="1" applyFill="1" applyBorder="1" applyAlignment="1">
      <alignment horizontal="center"/>
    </xf>
    <xf numFmtId="14" fontId="18" fillId="7" borderId="14" xfId="0" applyNumberFormat="1" applyFont="1" applyFill="1" applyBorder="1" applyAlignment="1">
      <alignment horizontal="center"/>
    </xf>
    <xf numFmtId="0" fontId="18" fillId="7" borderId="11" xfId="0" applyFont="1" applyFill="1" applyBorder="1"/>
  </cellXfs>
  <cellStyles count="6">
    <cellStyle name="Millares [0]" xfId="1" builtinId="6"/>
    <cellStyle name="Millares [0] 2" xfId="5" xr:uid="{43AF81BB-10A0-49B8-9E4D-53153E4E60E8}"/>
    <cellStyle name="Moneda [0]" xfId="2" builtinId="7"/>
    <cellStyle name="Normal" xfId="0" builtinId="0"/>
    <cellStyle name="Normal 2" xfId="4" xr:uid="{764CEB03-4D1D-44D9-B2E7-2294D44A623D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19.jpeg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21.jpeg"/><Relationship Id="rId4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23.jpeg"/><Relationship Id="rId4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26.jpeg"/><Relationship Id="rId4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file:///C:\aplifac\logo.jpg" TargetMode="External"/><Relationship Id="rId2" Type="http://schemas.openxmlformats.org/officeDocument/2006/relationships/image" Target="../media/image28.jpeg"/><Relationship Id="rId1" Type="http://schemas.openxmlformats.org/officeDocument/2006/relationships/image" Target="../media/image3.png"/><Relationship Id="rId4" Type="http://schemas.openxmlformats.org/officeDocument/2006/relationships/image" Target="../media/image29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file:///C:\aplifac\logo.jpg" TargetMode="External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9.jpe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12.jpe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15.jpe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file:///C:\aplifac\logo.jpg" TargetMode="External"/><Relationship Id="rId1" Type="http://schemas.openxmlformats.org/officeDocument/2006/relationships/image" Target="../media/image17.jpe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14967</xdr:rowOff>
    </xdr:from>
    <xdr:to>
      <xdr:col>14</xdr:col>
      <xdr:colOff>172072</xdr:colOff>
      <xdr:row>28</xdr:row>
      <xdr:rowOff>98407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60333E-D7A0-C146-CC39-5682066D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86467"/>
          <a:ext cx="10935322" cy="484594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31</xdr:row>
      <xdr:rowOff>81643</xdr:rowOff>
    </xdr:from>
    <xdr:to>
      <xdr:col>10</xdr:col>
      <xdr:colOff>353786</xdr:colOff>
      <xdr:row>39</xdr:row>
      <xdr:rowOff>148318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D397B7-166D-D07A-B76A-7CA9F49DA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6" y="5987143"/>
          <a:ext cx="8001000" cy="15906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193582A6-0E0A-423B-B47F-26EBC6B7D9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5C72D6B-6DFB-454E-B5EF-7153501A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9801225"/>
          <a:ext cx="8797199" cy="3457143"/>
        </a:xfrm>
        <a:prstGeom prst="rect">
          <a:avLst/>
        </a:prstGeom>
      </xdr:spPr>
    </xdr:pic>
    <xdr:clientData/>
  </xdr:twoCellAnchor>
  <xdr:twoCellAnchor editAs="oneCell">
    <xdr:from>
      <xdr:col>29</xdr:col>
      <xdr:colOff>22411</xdr:colOff>
      <xdr:row>41</xdr:row>
      <xdr:rowOff>22412</xdr:rowOff>
    </xdr:from>
    <xdr:to>
      <xdr:col>39</xdr:col>
      <xdr:colOff>97649</xdr:colOff>
      <xdr:row>44</xdr:row>
      <xdr:rowOff>37479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E68114-CAFD-491A-98EF-E3B6B03AD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67911" y="7530353"/>
          <a:ext cx="7695238" cy="4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4DA1238A-56D5-43C1-9D23-57B234C5FC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11206</xdr:colOff>
      <xdr:row>41</xdr:row>
      <xdr:rowOff>78442</xdr:rowOff>
    </xdr:from>
    <xdr:to>
      <xdr:col>38</xdr:col>
      <xdr:colOff>657968</xdr:colOff>
      <xdr:row>44</xdr:row>
      <xdr:rowOff>26843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2FAB8D-0B7A-CB08-F9FB-B5C2D109F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56706" y="3395383"/>
          <a:ext cx="7504762" cy="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B00F27A-72CD-3A1F-F8B0-F86E8F36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118" y="8572500"/>
          <a:ext cx="8800000" cy="34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3AFC6F5B-CC11-4F23-884D-C862887608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11</xdr:col>
      <xdr:colOff>58339</xdr:colOff>
      <xdr:row>45</xdr:row>
      <xdr:rowOff>171095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381A6A-41AC-4C41-9EBA-49981A233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5391150"/>
          <a:ext cx="7059214" cy="2838095"/>
        </a:xfrm>
        <a:prstGeom prst="rect">
          <a:avLst/>
        </a:prstGeom>
      </xdr:spPr>
    </xdr:pic>
    <xdr:clientData/>
  </xdr:twoCellAnchor>
  <xdr:twoCellAnchor editAs="oneCell">
    <xdr:from>
      <xdr:col>28</xdr:col>
      <xdr:colOff>705970</xdr:colOff>
      <xdr:row>20</xdr:row>
      <xdr:rowOff>89647</xdr:rowOff>
    </xdr:from>
    <xdr:to>
      <xdr:col>38</xdr:col>
      <xdr:colOff>752637</xdr:colOff>
      <xdr:row>22</xdr:row>
      <xdr:rowOff>90168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AD7472-0CC1-8E8A-2A8B-6622FE5C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89470" y="3563471"/>
          <a:ext cx="7666667" cy="3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3" name="logo.jpg" descr="C:\aplifac\logo.jpg">
          <a:extLst>
            <a:ext uri="{FF2B5EF4-FFF2-40B4-BE49-F238E27FC236}">
              <a16:creationId xmlns:a16="http://schemas.microsoft.com/office/drawing/2014/main" id="{022DF4E3-08CC-4563-855C-14442D1079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11</xdr:col>
      <xdr:colOff>58339</xdr:colOff>
      <xdr:row>45</xdr:row>
      <xdr:rowOff>171095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5AA3EA-7C09-C079-488F-7BA03E363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1913" y="5507935"/>
          <a:ext cx="7057143" cy="283809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19</xdr:row>
      <xdr:rowOff>0</xdr:rowOff>
    </xdr:from>
    <xdr:to>
      <xdr:col>40</xdr:col>
      <xdr:colOff>684857</xdr:colOff>
      <xdr:row>24</xdr:row>
      <xdr:rowOff>86025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7B9F6DC-9124-A419-B263-A5A25DAB8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77783" y="3420717"/>
          <a:ext cx="7542857" cy="914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28</xdr:row>
      <xdr:rowOff>123825</xdr:rowOff>
    </xdr:from>
    <xdr:to>
      <xdr:col>12</xdr:col>
      <xdr:colOff>219075</xdr:colOff>
      <xdr:row>44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6CADC3-AEEF-1FA8-05E5-4CB9AA362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5086350"/>
          <a:ext cx="7877175" cy="3019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4" name="logo.jpg" descr="C:\aplifac\logo.jpg">
          <a:extLst>
            <a:ext uri="{FF2B5EF4-FFF2-40B4-BE49-F238E27FC236}">
              <a16:creationId xmlns:a16="http://schemas.microsoft.com/office/drawing/2014/main" id="{D62F54AC-9612-4B48-83F1-E474276F6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695325</xdr:colOff>
      <xdr:row>11</xdr:row>
      <xdr:rowOff>9525</xdr:rowOff>
    </xdr:from>
    <xdr:to>
      <xdr:col>39</xdr:col>
      <xdr:colOff>589515</xdr:colOff>
      <xdr:row>16</xdr:row>
      <xdr:rowOff>37981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C7738D-C248-E228-79DF-04E42890A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78825" y="1933575"/>
          <a:ext cx="8276190" cy="95238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3</xdr:row>
      <xdr:rowOff>19050</xdr:rowOff>
    </xdr:from>
    <xdr:to>
      <xdr:col>16</xdr:col>
      <xdr:colOff>596854</xdr:colOff>
      <xdr:row>12</xdr:row>
      <xdr:rowOff>33659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13D41A-6781-1477-33F4-6A51069927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1034"/>
        <a:stretch/>
      </xdr:blipFill>
      <xdr:spPr>
        <a:xfrm>
          <a:off x="6457950" y="466725"/>
          <a:ext cx="6797629" cy="1348109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18</xdr:row>
      <xdr:rowOff>142875</xdr:rowOff>
    </xdr:from>
    <xdr:to>
      <xdr:col>21</xdr:col>
      <xdr:colOff>352425</xdr:colOff>
      <xdr:row>23</xdr:row>
      <xdr:rowOff>85725</xdr:rowOff>
    </xdr:to>
    <xdr:pic>
      <xdr:nvPicPr>
        <xdr:cNvPr id="3" name="Grupo 10">
          <a:extLst>
            <a:ext uri="{FF2B5EF4-FFF2-40B4-BE49-F238E27FC236}">
              <a16:creationId xmlns:a16="http://schemas.microsoft.com/office/drawing/2014/main" id="{0C884588-5558-9ABD-67D7-3236FCB31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2952750"/>
          <a:ext cx="10163175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31</xdr:row>
      <xdr:rowOff>123825</xdr:rowOff>
    </xdr:from>
    <xdr:to>
      <xdr:col>11</xdr:col>
      <xdr:colOff>277053</xdr:colOff>
      <xdr:row>47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2FB111-F1C5-46B4-96B1-0755D296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5086350"/>
          <a:ext cx="7877175" cy="30194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3" name="logo.jpg" descr="C:\aplifac\logo.jpg">
          <a:extLst>
            <a:ext uri="{FF2B5EF4-FFF2-40B4-BE49-F238E27FC236}">
              <a16:creationId xmlns:a16="http://schemas.microsoft.com/office/drawing/2014/main" id="{16B19AF6-4B6B-4FC0-ACCA-4FCC163CD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41</xdr:col>
      <xdr:colOff>541905</xdr:colOff>
      <xdr:row>21</xdr:row>
      <xdr:rowOff>23058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0CEFAC-F4E7-5045-F784-E3799D950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77783" y="2708413"/>
          <a:ext cx="8161905" cy="1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17</xdr:col>
      <xdr:colOff>436571</xdr:colOff>
      <xdr:row>24</xdr:row>
      <xdr:rowOff>133262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696E0F-94FD-984C-0790-21C6EB0AC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12628571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170381</xdr:colOff>
      <xdr:row>45</xdr:row>
      <xdr:rowOff>47167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AB7AC8-65D1-9127-8C20-B7BD93648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953000"/>
          <a:ext cx="8552381" cy="36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14</xdr:row>
      <xdr:rowOff>85725</xdr:rowOff>
    </xdr:from>
    <xdr:to>
      <xdr:col>19</xdr:col>
      <xdr:colOff>456127</xdr:colOff>
      <xdr:row>28</xdr:row>
      <xdr:rowOff>66344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8FF48B-4575-6ADE-0C42-8D69762F0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2475" y="2752725"/>
          <a:ext cx="8580952" cy="26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0428ECCF-8839-41DF-8C13-10D235B9E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38E3E4-0971-4F02-ACA9-5BFE72BAB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8305800"/>
          <a:ext cx="8797199" cy="3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19050</xdr:colOff>
      <xdr:row>15</xdr:row>
      <xdr:rowOff>114300</xdr:rowOff>
    </xdr:from>
    <xdr:to>
      <xdr:col>37</xdr:col>
      <xdr:colOff>561050</xdr:colOff>
      <xdr:row>41</xdr:row>
      <xdr:rowOff>114188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DF0714-49D7-B41C-2489-AE25D0C7B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02550" y="2800350"/>
          <a:ext cx="7400000" cy="8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2CC7E5AA-7385-4D0B-BF06-1B29F722D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DDC516-FB58-42B2-B8A7-3FA03A6E9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6019800"/>
          <a:ext cx="8797199" cy="3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476250</xdr:colOff>
      <xdr:row>28</xdr:row>
      <xdr:rowOff>38100</xdr:rowOff>
    </xdr:from>
    <xdr:to>
      <xdr:col>38</xdr:col>
      <xdr:colOff>465774</xdr:colOff>
      <xdr:row>43</xdr:row>
      <xdr:rowOff>85563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D9B3E78-B4A8-19EC-17A0-6DCACA282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0" y="5172075"/>
          <a:ext cx="7609524" cy="12952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7</xdr:col>
      <xdr:colOff>580112</xdr:colOff>
      <xdr:row>19</xdr:row>
      <xdr:rowOff>85643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2F68A2-B131-4AA6-B8BE-7F44F7323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3048000"/>
          <a:ext cx="7304762" cy="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B6FE3119-E02B-48C1-AE6B-821BEC23B6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EB8C6C-27B3-4C48-920C-A3EA85FA5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5286375"/>
          <a:ext cx="8797199" cy="3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438150</xdr:colOff>
      <xdr:row>14</xdr:row>
      <xdr:rowOff>95250</xdr:rowOff>
    </xdr:from>
    <xdr:to>
      <xdr:col>38</xdr:col>
      <xdr:colOff>284817</xdr:colOff>
      <xdr:row>41</xdr:row>
      <xdr:rowOff>47471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20E8D02-996A-F136-1AEC-DAA03595B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21650" y="2590800"/>
          <a:ext cx="7466667" cy="12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0</xdr:rowOff>
    </xdr:from>
    <xdr:to>
      <xdr:col>4</xdr:col>
      <xdr:colOff>323850</xdr:colOff>
      <xdr:row>1</xdr:row>
      <xdr:rowOff>200025</xdr:rowOff>
    </xdr:to>
    <xdr:pic>
      <xdr:nvPicPr>
        <xdr:cNvPr id="2" name="logo.jpg" descr="C:\aplifac\logo.jpg">
          <a:extLst>
            <a:ext uri="{FF2B5EF4-FFF2-40B4-BE49-F238E27FC236}">
              <a16:creationId xmlns:a16="http://schemas.microsoft.com/office/drawing/2014/main" id="{104CF7BF-ACB0-42D7-8E74-1B20455927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0"/>
          <a:ext cx="17145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13</xdr:col>
      <xdr:colOff>272324</xdr:colOff>
      <xdr:row>72</xdr:row>
      <xdr:rowOff>28143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E97262-41A2-4F74-B976-D8F746442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5286375"/>
          <a:ext cx="8797199" cy="3457143"/>
        </a:xfrm>
        <a:prstGeom prst="rect">
          <a:avLst/>
        </a:prstGeom>
      </xdr:spPr>
    </xdr:pic>
    <xdr:clientData/>
  </xdr:twoCellAnchor>
  <xdr:twoCellAnchor editAs="oneCell">
    <xdr:from>
      <xdr:col>28</xdr:col>
      <xdr:colOff>694765</xdr:colOff>
      <xdr:row>9</xdr:row>
      <xdr:rowOff>22412</xdr:rowOff>
    </xdr:from>
    <xdr:to>
      <xdr:col>39</xdr:col>
      <xdr:colOff>27051</xdr:colOff>
      <xdr:row>40</xdr:row>
      <xdr:rowOff>50817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E634C7-7ECA-5E1D-59AC-97C4DFEE8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78265" y="1535206"/>
          <a:ext cx="7714286" cy="1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 Los Angeles" refreshedDate="45334.487887268515" createdVersion="8" refreshedVersion="8" minRefreshableVersion="3" recordCount="237" xr:uid="{2C89707D-1C4F-4C73-B8B1-FB23A71E4A49}">
  <cacheSource type="worksheet">
    <worksheetSource ref="B4:J243" sheet="CTA CORRIENTE"/>
  </cacheSource>
  <cacheFields count="9">
    <cacheField name="Especie" numFmtId="0">
      <sharedItems count="4">
        <s v="T22.23"/>
        <s v="Esparragos"/>
        <s v="Arándanos"/>
        <s v="Cerezas"/>
      </sharedItems>
    </cacheField>
    <cacheField name="N° Doc." numFmtId="0">
      <sharedItems containsBlank="1" containsMixedTypes="1" containsNumber="1" containsInteger="1" minValue="928" maxValue="41209678" count="125">
        <n v="17973676"/>
        <n v="41209678"/>
        <n v="928"/>
        <n v="19244759"/>
        <n v="19245921"/>
        <n v="19245410"/>
        <n v="929"/>
        <n v="934"/>
        <s v="NC-92"/>
        <m/>
        <n v="941"/>
        <s v="NC-93"/>
        <n v="19252557"/>
        <n v="19253779"/>
        <n v="19253264"/>
        <n v="19249854"/>
        <n v="943"/>
        <n v="949"/>
        <n v="952"/>
        <n v="19257145"/>
        <n v="19258349"/>
        <n v="19257865"/>
        <n v="973"/>
        <n v="976"/>
        <n v="19259972"/>
        <n v="19262024"/>
        <n v="19261567"/>
        <n v="977"/>
        <n v="980"/>
        <n v="986"/>
        <n v="991"/>
        <n v="19262025"/>
        <n v="19261566"/>
        <n v="992"/>
        <n v="993"/>
        <n v="994"/>
        <n v="995"/>
        <n v="19266412"/>
        <n v="19266019"/>
        <n v="998"/>
        <n v="19265049"/>
        <n v="19266411"/>
        <n v="19266020"/>
        <n v="1003"/>
        <n v="1008"/>
        <n v="19269517"/>
        <n v="19270495"/>
        <n v="19270061"/>
        <n v="1016"/>
        <n v="19273603"/>
        <n v="19274698"/>
        <n v="19274208"/>
        <n v="19272422"/>
        <n v="19272423"/>
        <n v="1031"/>
        <n v="19277069"/>
        <n v="19278147"/>
        <n v="19277739"/>
        <n v="1040"/>
        <n v="1041"/>
        <n v="1044"/>
        <s v="NC-105"/>
        <n v="19280792"/>
        <n v="19281982"/>
        <n v="19281508"/>
        <n v="1045"/>
        <s v="NC-106"/>
        <n v="1049"/>
        <n v="1055"/>
        <n v="19283976"/>
        <n v="19287165"/>
        <n v="19286657"/>
        <n v="1060"/>
        <n v="1067"/>
        <n v="20119558"/>
        <n v="20120681"/>
        <n v="20120261"/>
        <n v="1071"/>
        <s v="NC-117 / F1044"/>
        <s v="NC-121 / F1044"/>
        <n v="1074"/>
        <n v="20124984"/>
        <n v="20126210"/>
        <n v="20125737"/>
        <n v="1077"/>
        <n v="1084"/>
        <n v="1085"/>
        <n v="20122954"/>
        <n v="1086"/>
        <n v="1087"/>
        <n v="20129341"/>
        <n v="20130008"/>
        <n v="20130237"/>
        <n v="1088"/>
        <s v="NC-135"/>
        <n v="1091"/>
        <n v="20132130"/>
        <n v="20134252"/>
        <n v="20133743"/>
        <n v="1093"/>
        <n v="1096"/>
        <n v="20139064"/>
        <n v="20139856"/>
        <n v="20140019"/>
        <n v="1097"/>
        <n v="1098"/>
        <n v="20141636"/>
        <n v="1101"/>
        <n v="20144020"/>
        <n v="20146377"/>
        <n v="20146632"/>
        <n v="1102"/>
        <n v="1103"/>
        <n v="20145393"/>
        <n v="20144795"/>
        <n v="20144373"/>
        <n v="1105"/>
        <n v="1109"/>
        <n v="20148053"/>
        <n v="20150410"/>
        <n v="20149648"/>
        <n v="1110"/>
        <n v="1114"/>
        <n v="20165021"/>
        <n v="20166508"/>
      </sharedItems>
    </cacheField>
    <cacheField name="Condición" numFmtId="0">
      <sharedItems count="4">
        <s v="Compra"/>
        <s v="Venta"/>
        <s v="DCTO DIF PRECIO/CANT"/>
        <s v="SUBTOTAL"/>
      </sharedItems>
    </cacheField>
    <cacheField name="Fecha Emisión" numFmtId="14">
      <sharedItems containsNonDate="0" containsDate="1" containsString="0" containsBlank="1" minDate="2023-02-06T00:00:00" maxDate="2024-02-04T00:00:00"/>
    </cacheField>
    <cacheField name="Cargo" numFmtId="0">
      <sharedItems containsBlank="1" containsMixedTypes="1" containsNumber="1" minValue="1E-3" maxValue="0.1"/>
    </cacheField>
    <cacheField name="B2B" numFmtId="164">
      <sharedItems containsBlank="1"/>
    </cacheField>
    <cacheField name="MONTO $" numFmtId="41">
      <sharedItems containsString="0" containsBlank="1" containsNumber="1" minValue="-7575301.6806722693" maxValue="40533032"/>
    </cacheField>
    <cacheField name="IVA $" numFmtId="41">
      <sharedItems containsSemiMixedTypes="0" containsString="0" containsNumber="1" minValue="-1439307.3193277312" maxValue="7701276.0800000001"/>
    </cacheField>
    <cacheField name="TOTAL $ EQUIV." numFmtId="41">
      <sharedItems containsSemiMixedTypes="0" containsString="0" containsNumber="1" minValue="-9014609" maxValue="48234308.07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x v="0"/>
    <d v="2023-02-06T00:00:00"/>
    <n v="1E-3"/>
    <s v="si"/>
    <n v="8299"/>
    <n v="1576.81"/>
    <n v="-9875.81"/>
  </r>
  <r>
    <x v="0"/>
    <x v="1"/>
    <x v="0"/>
    <d v="2023-03-20T00:00:00"/>
    <s v="NC"/>
    <s v="si"/>
    <n v="124800"/>
    <n v="23712"/>
    <n v="-148512"/>
  </r>
  <r>
    <x v="1"/>
    <x v="2"/>
    <x v="1"/>
    <d v="2023-09-26T00:00:00"/>
    <m/>
    <s v="si"/>
    <n v="10055838"/>
    <n v="1910609.22"/>
    <n v="11966447.220000001"/>
  </r>
  <r>
    <x v="1"/>
    <x v="3"/>
    <x v="0"/>
    <m/>
    <n v="0.1"/>
    <s v="si"/>
    <n v="1005583.8"/>
    <n v="191060.92200000002"/>
    <n v="-1196644.7220000001"/>
  </r>
  <r>
    <x v="1"/>
    <x v="4"/>
    <x v="0"/>
    <m/>
    <n v="0.08"/>
    <s v="si"/>
    <n v="804467.04"/>
    <n v="152848.73760000002"/>
    <n v="-957315.77760000003"/>
  </r>
  <r>
    <x v="1"/>
    <x v="5"/>
    <x v="0"/>
    <m/>
    <n v="0.04"/>
    <s v="si"/>
    <n v="402233.52"/>
    <n v="76424.368800000011"/>
    <n v="-478657.88880000002"/>
  </r>
  <r>
    <x v="1"/>
    <x v="6"/>
    <x v="1"/>
    <d v="2023-09-26T00:00:00"/>
    <m/>
    <s v="si"/>
    <n v="3487516"/>
    <n v="662628.04"/>
    <n v="4150144.04"/>
  </r>
  <r>
    <x v="1"/>
    <x v="3"/>
    <x v="0"/>
    <m/>
    <n v="0.1"/>
    <s v="si"/>
    <n v="348751.60000000003"/>
    <n v="66262.804000000004"/>
    <n v="-415014.40400000004"/>
  </r>
  <r>
    <x v="1"/>
    <x v="4"/>
    <x v="0"/>
    <m/>
    <n v="0.08"/>
    <s v="si"/>
    <n v="279001.28000000003"/>
    <n v="53010.243200000004"/>
    <n v="-332011.52320000005"/>
  </r>
  <r>
    <x v="1"/>
    <x v="5"/>
    <x v="0"/>
    <m/>
    <n v="0.04"/>
    <s v="si"/>
    <n v="139500.64000000001"/>
    <n v="26505.121600000002"/>
    <n v="-166005.76160000003"/>
  </r>
  <r>
    <x v="1"/>
    <x v="7"/>
    <x v="1"/>
    <d v="2023-09-29T00:00:00"/>
    <m/>
    <s v="si"/>
    <n v="26840744"/>
    <n v="5099741.3600000003"/>
    <n v="31940485.359999999"/>
  </r>
  <r>
    <x v="1"/>
    <x v="8"/>
    <x v="2"/>
    <d v="2023-10-05T00:00:00"/>
    <m/>
    <s v="si"/>
    <n v="-81463.865546218498"/>
    <n v="-15478.134453781515"/>
    <n v="-96942.000000000015"/>
  </r>
  <r>
    <x v="1"/>
    <x v="9"/>
    <x v="3"/>
    <m/>
    <m/>
    <s v="na"/>
    <n v="26759280.134453781"/>
    <n v="5084263.2255462185"/>
    <n v="31843543.359999999"/>
  </r>
  <r>
    <x v="1"/>
    <x v="3"/>
    <x v="0"/>
    <m/>
    <n v="0.1"/>
    <s v="si"/>
    <n v="2675928.0134453783"/>
    <n v="508426.3225546219"/>
    <n v="-3184354.3360000001"/>
  </r>
  <r>
    <x v="1"/>
    <x v="4"/>
    <x v="0"/>
    <m/>
    <n v="0.08"/>
    <s v="si"/>
    <n v="2140742.4107563025"/>
    <n v="406741.0580436975"/>
    <n v="-2547483.4687999999"/>
  </r>
  <r>
    <x v="1"/>
    <x v="5"/>
    <x v="0"/>
    <m/>
    <n v="0.04"/>
    <s v="si"/>
    <n v="1070371.2053781513"/>
    <n v="203370.52902184875"/>
    <n v="-1273741.7344"/>
  </r>
  <r>
    <x v="1"/>
    <x v="10"/>
    <x v="1"/>
    <d v="2023-10-03T00:00:00"/>
    <m/>
    <s v="si"/>
    <n v="33781776"/>
    <n v="6418537.4400000004"/>
    <n v="40200313.439999998"/>
  </r>
  <r>
    <x v="1"/>
    <x v="11"/>
    <x v="2"/>
    <m/>
    <m/>
    <s v="si"/>
    <n v="-244391.59663865546"/>
    <n v="-46434.403361344535"/>
    <n v="-290826"/>
  </r>
  <r>
    <x v="1"/>
    <x v="9"/>
    <x v="3"/>
    <d v="2023-10-05T00:00:00"/>
    <m/>
    <s v="na"/>
    <n v="33537384.403361343"/>
    <n v="6372103.0366386557"/>
    <n v="39909487.439999998"/>
  </r>
  <r>
    <x v="1"/>
    <x v="12"/>
    <x v="0"/>
    <d v="2023-10-10T00:00:00"/>
    <n v="0.1"/>
    <s v="si"/>
    <n v="3353738.4403361343"/>
    <n v="637210.30366386555"/>
    <n v="-3990948.7439999999"/>
  </r>
  <r>
    <x v="1"/>
    <x v="13"/>
    <x v="0"/>
    <d v="2023-10-10T00:00:00"/>
    <n v="0.08"/>
    <s v="si"/>
    <n v="2682990.7522689076"/>
    <n v="509768.24293109245"/>
    <n v="-3192758.9952000002"/>
  </r>
  <r>
    <x v="1"/>
    <x v="14"/>
    <x v="0"/>
    <d v="2023-10-10T00:00:00"/>
    <n v="0.04"/>
    <s v="si"/>
    <n v="1341495.3761344538"/>
    <n v="254884.12146554622"/>
    <n v="-1596379.4976000001"/>
  </r>
  <r>
    <x v="1"/>
    <x v="15"/>
    <x v="0"/>
    <d v="2023-10-04T00:00:00"/>
    <n v="1E-3"/>
    <s v="si"/>
    <n v="40303.361344537814"/>
    <n v="7657.6386554621849"/>
    <n v="-47961"/>
  </r>
  <r>
    <x v="1"/>
    <x v="16"/>
    <x v="1"/>
    <d v="2023-10-05T00:00:00"/>
    <m/>
    <s v="si"/>
    <n v="2106810"/>
    <n v="400293.9"/>
    <n v="2507103.9"/>
  </r>
  <r>
    <x v="1"/>
    <x v="12"/>
    <x v="0"/>
    <d v="2023-10-10T00:00:00"/>
    <n v="0.1"/>
    <s v="si"/>
    <n v="210681"/>
    <n v="40029.39"/>
    <n v="-250710.39"/>
  </r>
  <r>
    <x v="1"/>
    <x v="13"/>
    <x v="0"/>
    <d v="2023-10-10T00:00:00"/>
    <n v="0.08"/>
    <s v="si"/>
    <n v="168544.80000000002"/>
    <n v="32023.512000000002"/>
    <n v="-200568.31200000003"/>
  </r>
  <r>
    <x v="1"/>
    <x v="14"/>
    <x v="0"/>
    <d v="2023-10-10T00:00:00"/>
    <n v="0.04"/>
    <s v="si"/>
    <n v="84272.400000000009"/>
    <n v="16011.756000000001"/>
    <n v="-100284.15600000002"/>
  </r>
  <r>
    <x v="1"/>
    <x v="17"/>
    <x v="1"/>
    <d v="2023-10-06T00:00:00"/>
    <m/>
    <s v="si"/>
    <n v="34189096"/>
    <n v="6495928.2400000002"/>
    <n v="40685024.240000002"/>
  </r>
  <r>
    <x v="1"/>
    <x v="12"/>
    <x v="0"/>
    <d v="2023-10-10T00:00:00"/>
    <n v="0.1"/>
    <s v="si"/>
    <n v="3418909.6"/>
    <n v="649592.82400000002"/>
    <n v="-4068502.4240000001"/>
  </r>
  <r>
    <x v="1"/>
    <x v="13"/>
    <x v="0"/>
    <d v="2023-10-10T00:00:00"/>
    <n v="0.08"/>
    <s v="si"/>
    <n v="2735127.68"/>
    <n v="519674.25920000003"/>
    <n v="-3254801.9392000004"/>
  </r>
  <r>
    <x v="1"/>
    <x v="14"/>
    <x v="0"/>
    <d v="2023-10-10T00:00:00"/>
    <n v="0.04"/>
    <s v="si"/>
    <n v="1367563.84"/>
    <n v="259837.12960000001"/>
    <n v="-1627400.9696000002"/>
  </r>
  <r>
    <x v="1"/>
    <x v="18"/>
    <x v="1"/>
    <d v="2023-10-10T00:00:00"/>
    <m/>
    <s v="si"/>
    <n v="16793552"/>
    <n v="3190774.88"/>
    <n v="19984326.879999999"/>
  </r>
  <r>
    <x v="1"/>
    <x v="19"/>
    <x v="0"/>
    <d v="2023-10-15T00:00:00"/>
    <n v="0.1"/>
    <s v="si"/>
    <n v="1679355.2000000002"/>
    <n v="319077.48800000001"/>
    <n v="-1998432.6880000001"/>
  </r>
  <r>
    <x v="1"/>
    <x v="20"/>
    <x v="0"/>
    <d v="2023-10-15T00:00:00"/>
    <n v="0.08"/>
    <s v="si"/>
    <n v="1343484.16"/>
    <n v="255261.99039999998"/>
    <n v="-1598746.1503999999"/>
  </r>
  <r>
    <x v="1"/>
    <x v="21"/>
    <x v="0"/>
    <d v="2023-10-15T00:00:00"/>
    <n v="0.04"/>
    <s v="si"/>
    <n v="671742.08"/>
    <n v="127630.99519999999"/>
    <n v="-799373.07519999996"/>
  </r>
  <r>
    <x v="1"/>
    <x v="22"/>
    <x v="1"/>
    <d v="2023-10-16T00:00:00"/>
    <m/>
    <s v="si"/>
    <n v="25372928"/>
    <n v="4820856.32"/>
    <n v="30193784.32"/>
  </r>
  <r>
    <x v="1"/>
    <x v="19"/>
    <x v="0"/>
    <d v="2023-10-15T00:00:00"/>
    <n v="0.1"/>
    <s v="si"/>
    <n v="2537292.8000000003"/>
    <n v="482085.63200000004"/>
    <n v="-3019378.4320000005"/>
  </r>
  <r>
    <x v="1"/>
    <x v="20"/>
    <x v="0"/>
    <d v="2023-10-15T00:00:00"/>
    <n v="0.08"/>
    <s v="si"/>
    <n v="2029834.24"/>
    <n v="385668.50559999997"/>
    <n v="-2415502.7456"/>
  </r>
  <r>
    <x v="1"/>
    <x v="21"/>
    <x v="0"/>
    <d v="2023-10-15T00:00:00"/>
    <n v="0.04"/>
    <s v="si"/>
    <n v="1014917.12"/>
    <n v="192834.25279999999"/>
    <n v="-1207751.3728"/>
  </r>
  <r>
    <x v="1"/>
    <x v="23"/>
    <x v="1"/>
    <d v="2023-10-16T00:00:00"/>
    <m/>
    <s v="si"/>
    <n v="39281220"/>
    <n v="7463431.7999999998"/>
    <n v="46744651.799999997"/>
  </r>
  <r>
    <x v="1"/>
    <x v="24"/>
    <x v="0"/>
    <d v="2023-10-22T00:00:00"/>
    <n v="0.1"/>
    <s v="si"/>
    <n v="3928122"/>
    <n v="746343.18"/>
    <n v="-4674465.18"/>
  </r>
  <r>
    <x v="1"/>
    <x v="25"/>
    <x v="0"/>
    <d v="2023-10-22T00:00:00"/>
    <n v="0.08"/>
    <s v="si"/>
    <n v="3142497.6"/>
    <n v="597074.54399999999"/>
    <n v="-3739572.1440000003"/>
  </r>
  <r>
    <x v="1"/>
    <x v="26"/>
    <x v="0"/>
    <d v="2023-10-22T00:00:00"/>
    <n v="0.04"/>
    <s v="si"/>
    <n v="1571248.8"/>
    <n v="298537.272"/>
    <n v="-1869786.0720000002"/>
  </r>
  <r>
    <x v="1"/>
    <x v="27"/>
    <x v="1"/>
    <d v="2023-10-16T00:00:00"/>
    <m/>
    <s v="si"/>
    <n v="20621238"/>
    <n v="3918035.22"/>
    <n v="24539273.219999999"/>
  </r>
  <r>
    <x v="1"/>
    <x v="24"/>
    <x v="0"/>
    <d v="2023-10-22T00:00:00"/>
    <n v="0.1"/>
    <s v="si"/>
    <n v="2062123.8"/>
    <n v="391803.522"/>
    <n v="-2453927.3220000002"/>
  </r>
  <r>
    <x v="1"/>
    <x v="25"/>
    <x v="0"/>
    <d v="2023-10-22T00:00:00"/>
    <n v="0.08"/>
    <s v="si"/>
    <n v="1649699.04"/>
    <n v="313442.81760000001"/>
    <n v="-1963141.8576"/>
  </r>
  <r>
    <x v="1"/>
    <x v="26"/>
    <x v="0"/>
    <d v="2023-10-22T00:00:00"/>
    <n v="0.04"/>
    <s v="si"/>
    <n v="824849.52"/>
    <n v="156721.4088"/>
    <n v="-981570.92879999999"/>
  </r>
  <r>
    <x v="1"/>
    <x v="28"/>
    <x v="1"/>
    <d v="2023-10-17T00:00:00"/>
    <m/>
    <s v="si"/>
    <n v="23287620"/>
    <n v="4424647.8"/>
    <n v="27712267.800000001"/>
  </r>
  <r>
    <x v="1"/>
    <x v="24"/>
    <x v="0"/>
    <d v="2023-10-22T00:00:00"/>
    <n v="0.1"/>
    <s v="si"/>
    <n v="2328762"/>
    <n v="442464.78"/>
    <n v="-2771226.7800000003"/>
  </r>
  <r>
    <x v="1"/>
    <x v="25"/>
    <x v="0"/>
    <d v="2023-10-22T00:00:00"/>
    <n v="0.08"/>
    <s v="si"/>
    <n v="1863009.6"/>
    <n v="353971.82400000002"/>
    <n v="-2216981.4240000001"/>
  </r>
  <r>
    <x v="1"/>
    <x v="26"/>
    <x v="0"/>
    <d v="2023-10-22T00:00:00"/>
    <n v="0.04"/>
    <s v="si"/>
    <n v="931504.8"/>
    <n v="176985.91200000001"/>
    <n v="-1108490.7120000001"/>
  </r>
  <r>
    <x v="1"/>
    <x v="29"/>
    <x v="1"/>
    <d v="2023-10-19T00:00:00"/>
    <m/>
    <s v="si"/>
    <n v="12772544"/>
    <n v="2426783.36"/>
    <n v="15199327.359999999"/>
  </r>
  <r>
    <x v="1"/>
    <x v="24"/>
    <x v="0"/>
    <d v="2023-10-22T00:00:00"/>
    <n v="0.1"/>
    <s v="si"/>
    <n v="1277254.4000000001"/>
    <n v="242678.33600000004"/>
    <n v="-1519932.7360000003"/>
  </r>
  <r>
    <x v="1"/>
    <x v="25"/>
    <x v="0"/>
    <d v="2023-10-22T00:00:00"/>
    <n v="0.08"/>
    <s v="si"/>
    <n v="1021803.52"/>
    <n v="194142.66880000001"/>
    <n v="-1215946.1888000001"/>
  </r>
  <r>
    <x v="1"/>
    <x v="26"/>
    <x v="0"/>
    <d v="2023-10-22T00:00:00"/>
    <n v="0.04"/>
    <s v="si"/>
    <n v="510901.76000000001"/>
    <n v="97071.334400000007"/>
    <n v="-607973.09440000006"/>
  </r>
  <r>
    <x v="1"/>
    <x v="30"/>
    <x v="1"/>
    <d v="2023-10-20T00:00:00"/>
    <m/>
    <s v="si"/>
    <n v="1726800"/>
    <n v="328092"/>
    <n v="2054892"/>
  </r>
  <r>
    <x v="1"/>
    <x v="9"/>
    <x v="0"/>
    <m/>
    <n v="0.1"/>
    <m/>
    <n v="172680"/>
    <n v="32809.199999999997"/>
    <n v="-205489.2"/>
  </r>
  <r>
    <x v="1"/>
    <x v="31"/>
    <x v="0"/>
    <d v="2023-10-22T00:00:00"/>
    <n v="0.08"/>
    <s v="si"/>
    <n v="138144"/>
    <n v="26247.360000000001"/>
    <n v="-164391.35999999999"/>
  </r>
  <r>
    <x v="1"/>
    <x v="32"/>
    <x v="0"/>
    <d v="2023-10-22T00:00:00"/>
    <n v="0.04"/>
    <s v="si"/>
    <n v="69072"/>
    <n v="13123.68"/>
    <n v="-82195.679999999993"/>
  </r>
  <r>
    <x v="1"/>
    <x v="33"/>
    <x v="1"/>
    <d v="2023-10-20T00:00:00"/>
    <m/>
    <s v="si"/>
    <n v="1726800"/>
    <n v="328092"/>
    <n v="2054892"/>
  </r>
  <r>
    <x v="1"/>
    <x v="9"/>
    <x v="0"/>
    <m/>
    <n v="0.1"/>
    <m/>
    <n v="172680"/>
    <n v="32809.199999999997"/>
    <n v="-205489.2"/>
  </r>
  <r>
    <x v="1"/>
    <x v="31"/>
    <x v="0"/>
    <d v="2023-10-22T00:00:00"/>
    <n v="0.08"/>
    <s v="si"/>
    <n v="138144"/>
    <n v="26247.360000000001"/>
    <n v="-164391.35999999999"/>
  </r>
  <r>
    <x v="1"/>
    <x v="32"/>
    <x v="0"/>
    <d v="2023-10-22T00:00:00"/>
    <n v="0.04"/>
    <s v="si"/>
    <n v="69072"/>
    <n v="13123.68"/>
    <n v="-82195.679999999993"/>
  </r>
  <r>
    <x v="1"/>
    <x v="34"/>
    <x v="1"/>
    <d v="2023-10-20T00:00:00"/>
    <m/>
    <s v="si"/>
    <n v="1726800"/>
    <n v="328092"/>
    <n v="2054892"/>
  </r>
  <r>
    <x v="1"/>
    <x v="9"/>
    <x v="0"/>
    <m/>
    <n v="0.1"/>
    <m/>
    <n v="172680"/>
    <n v="32809.199999999997"/>
    <n v="-205489.2"/>
  </r>
  <r>
    <x v="1"/>
    <x v="31"/>
    <x v="0"/>
    <d v="2023-10-22T00:00:00"/>
    <n v="0.08"/>
    <s v="si"/>
    <n v="138144"/>
    <n v="26247.360000000001"/>
    <n v="-164391.35999999999"/>
  </r>
  <r>
    <x v="1"/>
    <x v="32"/>
    <x v="0"/>
    <d v="2023-10-22T00:00:00"/>
    <n v="0.04"/>
    <s v="si"/>
    <n v="69072"/>
    <n v="13123.68"/>
    <n v="-82195.679999999993"/>
  </r>
  <r>
    <x v="1"/>
    <x v="35"/>
    <x v="1"/>
    <d v="2023-10-20T00:00:00"/>
    <m/>
    <s v="si"/>
    <n v="1726800"/>
    <n v="328092"/>
    <n v="2054892"/>
  </r>
  <r>
    <x v="1"/>
    <x v="9"/>
    <x v="0"/>
    <m/>
    <n v="0.1"/>
    <m/>
    <n v="172680"/>
    <n v="32809.199999999997"/>
    <n v="-205489.2"/>
  </r>
  <r>
    <x v="1"/>
    <x v="31"/>
    <x v="0"/>
    <d v="2023-10-22T00:00:00"/>
    <n v="0.08"/>
    <s v="si"/>
    <n v="138144"/>
    <n v="26247.360000000001"/>
    <n v="-164391.35999999999"/>
  </r>
  <r>
    <x v="1"/>
    <x v="32"/>
    <x v="0"/>
    <d v="2023-10-22T00:00:00"/>
    <n v="0.04"/>
    <s v="si"/>
    <n v="69072"/>
    <n v="13123.68"/>
    <n v="-82195.679999999993"/>
  </r>
  <r>
    <x v="1"/>
    <x v="36"/>
    <x v="1"/>
    <d v="2023-10-20T00:00:00"/>
    <m/>
    <s v="si"/>
    <n v="1726800"/>
    <n v="328092"/>
    <n v="2054892"/>
  </r>
  <r>
    <x v="1"/>
    <x v="9"/>
    <x v="0"/>
    <m/>
    <n v="0.1"/>
    <m/>
    <n v="172680"/>
    <n v="32809.199999999997"/>
    <n v="-205489.2"/>
  </r>
  <r>
    <x v="1"/>
    <x v="37"/>
    <x v="0"/>
    <d v="2023-10-29T00:00:00"/>
    <n v="0.08"/>
    <s v="si"/>
    <n v="138144"/>
    <n v="26247.360000000001"/>
    <n v="-164391.35999999999"/>
  </r>
  <r>
    <x v="1"/>
    <x v="38"/>
    <x v="0"/>
    <d v="2023-10-29T00:00:00"/>
    <n v="0.04"/>
    <s v="si"/>
    <n v="69072"/>
    <n v="13123.68"/>
    <n v="-82195.679999999993"/>
  </r>
  <r>
    <x v="1"/>
    <x v="39"/>
    <x v="1"/>
    <d v="2023-10-23T00:00:00"/>
    <m/>
    <s v="si"/>
    <n v="18576908"/>
    <n v="3529612.52"/>
    <n v="22106520.52"/>
  </r>
  <r>
    <x v="1"/>
    <x v="40"/>
    <x v="0"/>
    <d v="2023-10-29T00:00:00"/>
    <n v="0.1"/>
    <s v="si"/>
    <n v="1857690.8"/>
    <n v="352961.25200000004"/>
    <n v="-2210652.0520000001"/>
  </r>
  <r>
    <x v="1"/>
    <x v="41"/>
    <x v="0"/>
    <d v="2023-10-29T00:00:00"/>
    <n v="0.08"/>
    <s v="si"/>
    <n v="1486152.6400000001"/>
    <n v="282369.00160000002"/>
    <n v="-1768521.6416000002"/>
  </r>
  <r>
    <x v="1"/>
    <x v="42"/>
    <x v="0"/>
    <d v="2023-10-29T00:00:00"/>
    <n v="0.04"/>
    <s v="si"/>
    <n v="743076.32000000007"/>
    <n v="141184.50080000001"/>
    <n v="-884260.8208000001"/>
  </r>
  <r>
    <x v="1"/>
    <x v="43"/>
    <x v="1"/>
    <d v="2023-10-26T00:00:00"/>
    <m/>
    <s v="si"/>
    <n v="20673416"/>
    <n v="3927949.04"/>
    <n v="24601365.039999999"/>
  </r>
  <r>
    <x v="1"/>
    <x v="40"/>
    <x v="0"/>
    <d v="2023-10-29T00:00:00"/>
    <n v="0.1"/>
    <s v="si"/>
    <n v="2067341.6"/>
    <n v="392794.90400000004"/>
    <n v="-2460136.5040000002"/>
  </r>
  <r>
    <x v="1"/>
    <x v="41"/>
    <x v="0"/>
    <d v="2023-10-29T00:00:00"/>
    <n v="0.08"/>
    <s v="si"/>
    <n v="1653873.28"/>
    <n v="314235.92320000002"/>
    <n v="-1968109.2032000001"/>
  </r>
  <r>
    <x v="1"/>
    <x v="42"/>
    <x v="0"/>
    <d v="2023-10-29T00:00:00"/>
    <n v="0.04"/>
    <s v="si"/>
    <n v="826936.64"/>
    <n v="157117.96160000001"/>
    <n v="-984054.60160000005"/>
  </r>
  <r>
    <x v="1"/>
    <x v="44"/>
    <x v="1"/>
    <d v="2023-10-30T00:00:00"/>
    <m/>
    <s v="si"/>
    <n v="20551220"/>
    <n v="3904731.8"/>
    <n v="24455951.800000001"/>
  </r>
  <r>
    <x v="1"/>
    <x v="45"/>
    <x v="0"/>
    <d v="2023-10-31T00:00:00"/>
    <n v="0.1"/>
    <s v="si"/>
    <n v="2055122"/>
    <n v="390473.18"/>
    <n v="-2445595.1800000002"/>
  </r>
  <r>
    <x v="1"/>
    <x v="46"/>
    <x v="0"/>
    <d v="2023-10-31T00:00:00"/>
    <n v="0.08"/>
    <s v="si"/>
    <n v="1644097.6"/>
    <n v="312378.54399999999"/>
    <n v="-1956476.1440000001"/>
  </r>
  <r>
    <x v="1"/>
    <x v="47"/>
    <x v="0"/>
    <d v="2023-10-31T00:00:00"/>
    <n v="0.04"/>
    <s v="si"/>
    <n v="822048.8"/>
    <n v="156189.272"/>
    <n v="-978238.07200000004"/>
  </r>
  <r>
    <x v="1"/>
    <x v="48"/>
    <x v="1"/>
    <d v="2023-11-02T00:00:00"/>
    <m/>
    <s v="si"/>
    <n v="20306828"/>
    <n v="3858297.32"/>
    <n v="24165125.32"/>
  </r>
  <r>
    <x v="1"/>
    <x v="49"/>
    <x v="0"/>
    <d v="2023-11-05T00:00:00"/>
    <n v="0.1"/>
    <s v="si"/>
    <n v="2030682.8"/>
    <n v="385829.73200000002"/>
    <n v="-2416512.5320000001"/>
  </r>
  <r>
    <x v="1"/>
    <x v="50"/>
    <x v="0"/>
    <d v="2023-11-05T00:00:00"/>
    <n v="0.08"/>
    <s v="si"/>
    <n v="1624546.24"/>
    <n v="308663.7856"/>
    <n v="-1933210.0256000001"/>
  </r>
  <r>
    <x v="1"/>
    <x v="51"/>
    <x v="0"/>
    <d v="2023-11-05T00:00:00"/>
    <n v="0.04"/>
    <s v="si"/>
    <n v="812273.12"/>
    <n v="154331.8928"/>
    <n v="-966605.01280000003"/>
  </r>
  <r>
    <x v="1"/>
    <x v="52"/>
    <x v="0"/>
    <d v="2023-11-02T00:00:00"/>
    <n v="1E-3"/>
    <s v="si"/>
    <n v="267763.02521008404"/>
    <n v="50874.97478991597"/>
    <n v="-318638"/>
  </r>
  <r>
    <x v="1"/>
    <x v="53"/>
    <x v="0"/>
    <d v="2023-11-02T00:00:00"/>
    <n v="1E-3"/>
    <s v="si"/>
    <n v="8635.2941176470595"/>
    <n v="1640.7058823529412"/>
    <n v="-10276"/>
  </r>
  <r>
    <x v="1"/>
    <x v="54"/>
    <x v="1"/>
    <d v="2023-11-07T00:00:00"/>
    <m/>
    <s v="si"/>
    <n v="20455588"/>
    <n v="3886561.72"/>
    <n v="24342149.719999999"/>
  </r>
  <r>
    <x v="1"/>
    <x v="55"/>
    <x v="0"/>
    <d v="2023-11-12T00:00:00"/>
    <n v="0.1"/>
    <s v="si"/>
    <n v="2045558.8"/>
    <n v="388656.17200000002"/>
    <n v="-2434214.9720000001"/>
  </r>
  <r>
    <x v="1"/>
    <x v="56"/>
    <x v="0"/>
    <d v="2023-11-12T00:00:00"/>
    <n v="0.08"/>
    <s v="si"/>
    <n v="1636447.04"/>
    <n v="310924.9376"/>
    <n v="-1947371.9776000001"/>
  </r>
  <r>
    <x v="1"/>
    <x v="57"/>
    <x v="0"/>
    <d v="2023-11-12T00:00:00"/>
    <n v="0.04"/>
    <s v="si"/>
    <n v="818223.52"/>
    <n v="155462.4688"/>
    <n v="-973685.98880000005"/>
  </r>
  <r>
    <x v="1"/>
    <x v="58"/>
    <x v="1"/>
    <d v="2023-11-10T00:00:00"/>
    <m/>
    <s v="si"/>
    <n v="20184632"/>
    <n v="3835080.08"/>
    <n v="24019712.079999998"/>
  </r>
  <r>
    <x v="1"/>
    <x v="55"/>
    <x v="0"/>
    <d v="2023-11-12T00:00:00"/>
    <n v="0.1"/>
    <s v="si"/>
    <n v="2018463.2000000002"/>
    <n v="383508.00800000003"/>
    <n v="-2401971.2080000001"/>
  </r>
  <r>
    <x v="1"/>
    <x v="56"/>
    <x v="0"/>
    <d v="2023-11-12T00:00:00"/>
    <n v="0.08"/>
    <s v="si"/>
    <n v="1614770.56"/>
    <n v="306806.40640000004"/>
    <n v="-1921576.9664"/>
  </r>
  <r>
    <x v="1"/>
    <x v="57"/>
    <x v="0"/>
    <d v="2023-11-12T00:00:00"/>
    <n v="0.04"/>
    <s v="si"/>
    <n v="807385.28"/>
    <n v="153403.20320000002"/>
    <n v="-960788.48320000002"/>
  </r>
  <r>
    <x v="1"/>
    <x v="59"/>
    <x v="1"/>
    <d v="2023-11-10T00:00:00"/>
    <m/>
    <s v="si"/>
    <n v="10512800"/>
    <n v="1997432"/>
    <n v="12510232"/>
  </r>
  <r>
    <x v="1"/>
    <x v="55"/>
    <x v="0"/>
    <d v="2023-11-12T00:00:00"/>
    <n v="0.1"/>
    <s v="si"/>
    <n v="1051280"/>
    <n v="199743.2"/>
    <n v="-1251023.2"/>
  </r>
  <r>
    <x v="1"/>
    <x v="56"/>
    <x v="0"/>
    <d v="2023-11-12T00:00:00"/>
    <n v="0.08"/>
    <s v="si"/>
    <n v="841024"/>
    <n v="159794.56"/>
    <n v="-1000818.56"/>
  </r>
  <r>
    <x v="1"/>
    <x v="57"/>
    <x v="0"/>
    <d v="2023-11-12T00:00:00"/>
    <n v="0.04"/>
    <s v="si"/>
    <n v="420512"/>
    <n v="79897.279999999999"/>
    <n v="-500409.28"/>
  </r>
  <r>
    <x v="1"/>
    <x v="60"/>
    <x v="1"/>
    <d v="2023-11-13T00:00:00"/>
    <m/>
    <s v="si"/>
    <n v="40533032"/>
    <n v="7701276.0800000001"/>
    <n v="48234308.079999998"/>
  </r>
  <r>
    <x v="1"/>
    <x v="61"/>
    <x v="2"/>
    <d v="2023-11-14T00:00:00"/>
    <m/>
    <s v="si"/>
    <n v="-7575301.6806722693"/>
    <n v="-1439307.3193277312"/>
    <n v="-9014609"/>
  </r>
  <r>
    <x v="1"/>
    <x v="9"/>
    <x v="3"/>
    <m/>
    <m/>
    <s v="na"/>
    <n v="32957730.319327731"/>
    <n v="6261968.7606722694"/>
    <n v="39219699.079999998"/>
  </r>
  <r>
    <x v="1"/>
    <x v="62"/>
    <x v="0"/>
    <d v="2023-11-19T00:00:00"/>
    <n v="0.1"/>
    <s v="si"/>
    <n v="3295773.0319327731"/>
    <n v="626196.87606722687"/>
    <n v="-3921969.9079999998"/>
  </r>
  <r>
    <x v="1"/>
    <x v="63"/>
    <x v="0"/>
    <d v="2023-11-19T00:00:00"/>
    <n v="0.08"/>
    <s v="si"/>
    <n v="2636618.4255462186"/>
    <n v="500957.50085378153"/>
    <n v="-3137575.9264000002"/>
  </r>
  <r>
    <x v="1"/>
    <x v="64"/>
    <x v="0"/>
    <d v="2023-11-19T00:00:00"/>
    <n v="0.04"/>
    <s v="si"/>
    <n v="1318309.2127731093"/>
    <n v="250478.75042689077"/>
    <n v="-1568787.9632000001"/>
  </r>
  <r>
    <x v="1"/>
    <x v="65"/>
    <x v="1"/>
    <d v="2023-11-13T00:00:00"/>
    <m/>
    <s v="si"/>
    <n v="628692"/>
    <n v="119451.48"/>
    <n v="748143.48"/>
  </r>
  <r>
    <x v="1"/>
    <x v="66"/>
    <x v="2"/>
    <d v="2023-11-14T00:00:00"/>
    <m/>
    <s v="si"/>
    <n v="-122195.79831932773"/>
    <n v="-23217.201680672268"/>
    <n v="-145413"/>
  </r>
  <r>
    <x v="1"/>
    <x v="9"/>
    <x v="3"/>
    <m/>
    <m/>
    <s v="na"/>
    <n v="506496.20168067224"/>
    <n v="96234.278319327728"/>
    <n v="602730.48"/>
  </r>
  <r>
    <x v="1"/>
    <x v="62"/>
    <x v="0"/>
    <d v="2023-11-19T00:00:00"/>
    <n v="0.1"/>
    <s v="si"/>
    <n v="50649.620168067224"/>
    <n v="9623.4278319327732"/>
    <n v="-60273.047999999995"/>
  </r>
  <r>
    <x v="1"/>
    <x v="63"/>
    <x v="0"/>
    <d v="2023-11-19T00:00:00"/>
    <n v="0.08"/>
    <s v="si"/>
    <n v="40519.696134453778"/>
    <n v="7698.7422655462178"/>
    <n v="-48218.438399999999"/>
  </r>
  <r>
    <x v="1"/>
    <x v="64"/>
    <x v="0"/>
    <d v="2023-11-19T00:00:00"/>
    <n v="0.04"/>
    <s v="si"/>
    <n v="20259.848067226889"/>
    <n v="3849.3711327731089"/>
    <n v="-24109.2192"/>
  </r>
  <r>
    <x v="1"/>
    <x v="67"/>
    <x v="1"/>
    <d v="2023-11-16T00:00:00"/>
    <m/>
    <s v="si"/>
    <n v="18664060"/>
    <n v="3546171.4"/>
    <n v="22210231.399999999"/>
  </r>
  <r>
    <x v="1"/>
    <x v="62"/>
    <x v="0"/>
    <d v="2023-11-19T00:00:00"/>
    <n v="0.1"/>
    <s v="si"/>
    <n v="1866406"/>
    <n v="354617.14"/>
    <n v="-2221023.14"/>
  </r>
  <r>
    <x v="1"/>
    <x v="63"/>
    <x v="0"/>
    <d v="2023-11-19T00:00:00"/>
    <n v="0.08"/>
    <s v="si"/>
    <n v="1493124.8"/>
    <n v="283693.712"/>
    <n v="-1776818.5120000001"/>
  </r>
  <r>
    <x v="1"/>
    <x v="64"/>
    <x v="0"/>
    <d v="2023-11-19T00:00:00"/>
    <n v="0.04"/>
    <s v="si"/>
    <n v="746562.4"/>
    <n v="141846.856"/>
    <n v="-888409.25600000005"/>
  </r>
  <r>
    <x v="1"/>
    <x v="68"/>
    <x v="1"/>
    <d v="2023-11-20T00:00:00"/>
    <m/>
    <s v="si"/>
    <n v="29445460"/>
    <n v="5594637.4000000004"/>
    <n v="35040097.399999999"/>
  </r>
  <r>
    <x v="1"/>
    <x v="69"/>
    <x v="0"/>
    <d v="2023-11-26T00:00:00"/>
    <n v="0.1"/>
    <s v="si"/>
    <n v="2944546"/>
    <n v="559463.74"/>
    <n v="-3504009.74"/>
  </r>
  <r>
    <x v="1"/>
    <x v="70"/>
    <x v="0"/>
    <d v="2023-11-26T00:00:00"/>
    <n v="0.08"/>
    <s v="si"/>
    <n v="2355636.8000000003"/>
    <n v="447570.99200000009"/>
    <n v="-2803207.7920000004"/>
  </r>
  <r>
    <x v="1"/>
    <x v="71"/>
    <x v="0"/>
    <d v="2023-11-26T00:00:00"/>
    <n v="0.04"/>
    <s v="si"/>
    <n v="1177818.4000000001"/>
    <n v="223785.49600000004"/>
    <n v="-1401603.8960000002"/>
  </r>
  <r>
    <x v="1"/>
    <x v="72"/>
    <x v="1"/>
    <d v="2023-11-23T00:00:00"/>
    <m/>
    <s v="si"/>
    <n v="28781124"/>
    <n v="5468413.5600000005"/>
    <n v="34249537.560000002"/>
  </r>
  <r>
    <x v="1"/>
    <x v="69"/>
    <x v="0"/>
    <d v="2023-11-26T00:00:00"/>
    <n v="0.1"/>
    <s v="si"/>
    <n v="2878112.4000000004"/>
    <n v="546841.35600000003"/>
    <n v="-3424953.7560000005"/>
  </r>
  <r>
    <x v="1"/>
    <x v="70"/>
    <x v="0"/>
    <d v="2023-11-26T00:00:00"/>
    <n v="0.08"/>
    <s v="si"/>
    <n v="2302489.92"/>
    <n v="437473.08480000001"/>
    <n v="-2739963.0047999998"/>
  </r>
  <r>
    <x v="1"/>
    <x v="71"/>
    <x v="0"/>
    <d v="2023-11-26T00:00:00"/>
    <n v="0.04"/>
    <s v="si"/>
    <n v="1151244.96"/>
    <n v="218736.54240000001"/>
    <n v="-1369981.5023999999"/>
  </r>
  <r>
    <x v="1"/>
    <x v="73"/>
    <x v="1"/>
    <d v="2023-11-27T00:00:00"/>
    <m/>
    <s v="si"/>
    <n v="26344592"/>
    <n v="5005472.4800000004"/>
    <n v="31350064.48"/>
  </r>
  <r>
    <x v="1"/>
    <x v="74"/>
    <x v="0"/>
    <d v="2023-11-30T00:00:00"/>
    <n v="0.1"/>
    <s v="si"/>
    <n v="2634459.2000000002"/>
    <n v="500547.24800000002"/>
    <n v="-3135006.4480000003"/>
  </r>
  <r>
    <x v="1"/>
    <x v="75"/>
    <x v="0"/>
    <d v="2023-11-30T00:00:00"/>
    <n v="0.08"/>
    <s v="si"/>
    <n v="2107567.36"/>
    <n v="400437.79839999997"/>
    <n v="-2508005.1584000001"/>
  </r>
  <r>
    <x v="1"/>
    <x v="76"/>
    <x v="0"/>
    <d v="2023-11-30T00:00:00"/>
    <n v="0.04"/>
    <s v="si"/>
    <n v="1053783.68"/>
    <n v="200218.89919999999"/>
    <n v="-1254002.5792"/>
  </r>
  <r>
    <x v="2"/>
    <x v="77"/>
    <x v="1"/>
    <d v="2023-11-27T00:00:00"/>
    <m/>
    <s v="si"/>
    <n v="6187500"/>
    <n v="1175625"/>
    <n v="7363125"/>
  </r>
  <r>
    <x v="2"/>
    <x v="74"/>
    <x v="0"/>
    <d v="2023-11-30T00:00:00"/>
    <n v="0.1"/>
    <s v="si"/>
    <n v="618750"/>
    <n v="117562.5"/>
    <n v="-736312.5"/>
  </r>
  <r>
    <x v="2"/>
    <x v="75"/>
    <x v="0"/>
    <d v="2023-11-30T00:00:00"/>
    <n v="0.08"/>
    <s v="si"/>
    <n v="495000"/>
    <n v="94050"/>
    <n v="-589050"/>
  </r>
  <r>
    <x v="2"/>
    <x v="76"/>
    <x v="0"/>
    <d v="2023-11-30T00:00:00"/>
    <n v="0.04"/>
    <s v="si"/>
    <n v="247500"/>
    <n v="47025"/>
    <n v="-294525"/>
  </r>
  <r>
    <x v="2"/>
    <x v="78"/>
    <x v="2"/>
    <d v="2023-11-30T00:00:00"/>
    <m/>
    <s v="si"/>
    <n v="-51544"/>
    <n v="-9793.36"/>
    <n v="-61337.36"/>
  </r>
  <r>
    <x v="2"/>
    <x v="79"/>
    <x v="2"/>
    <d v="2023-12-06T00:00:00"/>
    <m/>
    <s v="si"/>
    <n v="-8160"/>
    <n v="-1550.4"/>
    <n v="-9710.4"/>
  </r>
  <r>
    <x v="2"/>
    <x v="80"/>
    <x v="1"/>
    <d v="2023-11-30T00:00:00"/>
    <m/>
    <s v="si"/>
    <n v="6187500"/>
    <n v="1175625"/>
    <n v="7363125"/>
  </r>
  <r>
    <x v="2"/>
    <x v="81"/>
    <x v="0"/>
    <d v="2023-12-10T00:00:00"/>
    <n v="0.1"/>
    <s v="si"/>
    <n v="618750"/>
    <n v="117562.5"/>
    <n v="-736312.5"/>
  </r>
  <r>
    <x v="2"/>
    <x v="82"/>
    <x v="0"/>
    <d v="2023-12-10T00:00:00"/>
    <n v="0.08"/>
    <s v="si"/>
    <n v="495000"/>
    <n v="94050"/>
    <n v="-589050"/>
  </r>
  <r>
    <x v="2"/>
    <x v="83"/>
    <x v="0"/>
    <d v="2023-12-10T00:00:00"/>
    <n v="0.04"/>
    <s v="si"/>
    <n v="247500"/>
    <n v="47025"/>
    <n v="-294525"/>
  </r>
  <r>
    <x v="1"/>
    <x v="84"/>
    <x v="1"/>
    <d v="2023-11-30T00:00:00"/>
    <m/>
    <s v="si"/>
    <n v="28685492"/>
    <n v="5450243.4800000004"/>
    <n v="34135735.480000004"/>
  </r>
  <r>
    <x v="1"/>
    <x v="81"/>
    <x v="0"/>
    <d v="2023-12-10T00:00:00"/>
    <n v="0.1"/>
    <s v="si"/>
    <n v="2868549.2"/>
    <n v="545024.348"/>
    <n v="-3413573.5480000004"/>
  </r>
  <r>
    <x v="1"/>
    <x v="82"/>
    <x v="0"/>
    <d v="2023-12-10T00:00:00"/>
    <n v="0.08"/>
    <s v="si"/>
    <n v="2294839.36"/>
    <n v="436019.47839999996"/>
    <n v="-2730858.8383999998"/>
  </r>
  <r>
    <x v="1"/>
    <x v="83"/>
    <x v="0"/>
    <d v="2023-12-10T00:00:00"/>
    <n v="0.04"/>
    <s v="si"/>
    <n v="1147419.68"/>
    <n v="218009.73919999998"/>
    <n v="-1365429.4191999999"/>
  </r>
  <r>
    <x v="2"/>
    <x v="85"/>
    <x v="1"/>
    <d v="2023-12-04T00:00:00"/>
    <m/>
    <s v="si"/>
    <n v="6187500"/>
    <n v="1175625"/>
    <n v="7363125"/>
  </r>
  <r>
    <x v="2"/>
    <x v="81"/>
    <x v="0"/>
    <d v="2023-12-10T00:00:00"/>
    <n v="0.1"/>
    <s v="si"/>
    <n v="618750"/>
    <n v="117562.5"/>
    <n v="-736312.5"/>
  </r>
  <r>
    <x v="2"/>
    <x v="82"/>
    <x v="0"/>
    <d v="2023-12-10T00:00:00"/>
    <n v="0.08"/>
    <s v="si"/>
    <n v="495000"/>
    <n v="94050"/>
    <n v="-589050"/>
  </r>
  <r>
    <x v="2"/>
    <x v="83"/>
    <x v="0"/>
    <d v="2023-12-10T00:00:00"/>
    <n v="0.04"/>
    <s v="si"/>
    <n v="247500"/>
    <n v="47025"/>
    <n v="-294525"/>
  </r>
  <r>
    <x v="1"/>
    <x v="86"/>
    <x v="1"/>
    <d v="2023-12-04T00:00:00"/>
    <m/>
    <s v="si"/>
    <n v="28604028"/>
    <n v="5434765.3200000003"/>
    <n v="34038793.32"/>
  </r>
  <r>
    <x v="1"/>
    <x v="81"/>
    <x v="0"/>
    <d v="2023-12-10T00:00:00"/>
    <n v="0.1"/>
    <s v="si"/>
    <n v="2860402.8000000003"/>
    <n v="543476.53200000001"/>
    <n v="-3403879.3320000004"/>
  </r>
  <r>
    <x v="1"/>
    <x v="82"/>
    <x v="0"/>
    <d v="2023-12-10T00:00:00"/>
    <n v="0.08"/>
    <s v="si"/>
    <n v="2288322.2400000002"/>
    <n v="434781.22560000006"/>
    <n v="-2723103.4656000002"/>
  </r>
  <r>
    <x v="1"/>
    <x v="83"/>
    <x v="0"/>
    <d v="2023-12-10T00:00:00"/>
    <n v="0.04"/>
    <s v="si"/>
    <n v="1144161.1200000001"/>
    <n v="217390.61280000003"/>
    <n v="-1361551.7328000001"/>
  </r>
  <r>
    <x v="2"/>
    <x v="87"/>
    <x v="0"/>
    <d v="2023-12-02T00:00:00"/>
    <n v="1E-3"/>
    <s v="si"/>
    <n v="214347"/>
    <n v="40725.93"/>
    <n v="-255072.93"/>
  </r>
  <r>
    <x v="2"/>
    <x v="88"/>
    <x v="1"/>
    <d v="2023-12-07T00:00:00"/>
    <m/>
    <s v="si"/>
    <n v="6187500"/>
    <n v="1175625"/>
    <n v="7363125"/>
  </r>
  <r>
    <x v="2"/>
    <x v="81"/>
    <x v="0"/>
    <d v="2023-12-10T00:00:00"/>
    <n v="0.1"/>
    <s v="si"/>
    <n v="618750"/>
    <n v="117562.5"/>
    <n v="-736312.5"/>
  </r>
  <r>
    <x v="2"/>
    <x v="82"/>
    <x v="0"/>
    <d v="2023-12-10T00:00:00"/>
    <n v="0.08"/>
    <s v="si"/>
    <n v="495000"/>
    <n v="94050"/>
    <n v="-589050"/>
  </r>
  <r>
    <x v="2"/>
    <x v="83"/>
    <x v="0"/>
    <d v="2023-12-10T00:00:00"/>
    <n v="0.04"/>
    <s v="si"/>
    <n v="247500"/>
    <n v="47025"/>
    <n v="-294525"/>
  </r>
  <r>
    <x v="2"/>
    <x v="89"/>
    <x v="1"/>
    <d v="2023-12-11T00:00:00"/>
    <m/>
    <s v="si"/>
    <n v="6187500"/>
    <n v="1175625"/>
    <n v="7363125"/>
  </r>
  <r>
    <x v="2"/>
    <x v="90"/>
    <x v="0"/>
    <d v="2023-12-17T00:00:00"/>
    <n v="0.1"/>
    <s v="si"/>
    <n v="618750"/>
    <n v="117562.5"/>
    <n v="-736312.5"/>
  </r>
  <r>
    <x v="2"/>
    <x v="91"/>
    <x v="0"/>
    <d v="2023-12-17T00:00:00"/>
    <n v="0.08"/>
    <s v="si"/>
    <n v="495000"/>
    <n v="94050"/>
    <n v="-589050"/>
  </r>
  <r>
    <x v="2"/>
    <x v="92"/>
    <x v="0"/>
    <d v="2023-12-17T00:00:00"/>
    <n v="0.04"/>
    <s v="si"/>
    <n v="247500"/>
    <n v="47025"/>
    <n v="-294525"/>
  </r>
  <r>
    <x v="2"/>
    <x v="93"/>
    <x v="1"/>
    <d v="2023-12-14T00:00:00"/>
    <m/>
    <s v="si"/>
    <n v="4950000"/>
    <n v="940500"/>
    <n v="5890500"/>
  </r>
  <r>
    <x v="2"/>
    <x v="94"/>
    <x v="2"/>
    <d v="2023-12-30T00:00:00"/>
    <m/>
    <m/>
    <n v="-55000"/>
    <n v="-10450"/>
    <n v="-65450"/>
  </r>
  <r>
    <x v="2"/>
    <x v="9"/>
    <x v="3"/>
    <m/>
    <m/>
    <s v="na"/>
    <n v="4895000"/>
    <n v="930050"/>
    <n v="5825050"/>
  </r>
  <r>
    <x v="2"/>
    <x v="90"/>
    <x v="0"/>
    <d v="2023-12-17T00:00:00"/>
    <n v="0.1"/>
    <s v="si"/>
    <n v="495000"/>
    <n v="94050"/>
    <n v="-589050"/>
  </r>
  <r>
    <x v="2"/>
    <x v="91"/>
    <x v="0"/>
    <d v="2023-12-17T00:00:00"/>
    <n v="0.08"/>
    <s v="si"/>
    <n v="396000"/>
    <n v="75240"/>
    <n v="-471240"/>
  </r>
  <r>
    <x v="2"/>
    <x v="92"/>
    <x v="0"/>
    <d v="2023-12-17T00:00:00"/>
    <n v="0.04"/>
    <s v="si"/>
    <n v="198000"/>
    <n v="37620"/>
    <n v="-235620"/>
  </r>
  <r>
    <x v="2"/>
    <x v="95"/>
    <x v="1"/>
    <d v="2023-12-18T00:00:00"/>
    <m/>
    <s v="si"/>
    <n v="6187500"/>
    <n v="1175625"/>
    <n v="7363125"/>
  </r>
  <r>
    <x v="2"/>
    <x v="96"/>
    <x v="0"/>
    <d v="2023-12-24T00:00:00"/>
    <n v="0.1"/>
    <s v="si"/>
    <n v="618750"/>
    <n v="117562.5"/>
    <n v="-736312.5"/>
  </r>
  <r>
    <x v="2"/>
    <x v="97"/>
    <x v="0"/>
    <d v="2023-12-24T00:00:00"/>
    <n v="0.08"/>
    <s v="si"/>
    <n v="495000"/>
    <n v="94050"/>
    <n v="-589050"/>
  </r>
  <r>
    <x v="2"/>
    <x v="98"/>
    <x v="0"/>
    <d v="2023-12-24T00:00:00"/>
    <n v="0.04"/>
    <s v="si"/>
    <n v="247500"/>
    <n v="47025"/>
    <n v="-294525"/>
  </r>
  <r>
    <x v="2"/>
    <x v="99"/>
    <x v="1"/>
    <d v="2023-12-21T00:00:00"/>
    <m/>
    <s v="si"/>
    <n v="6187500"/>
    <n v="1175625"/>
    <n v="7363125"/>
  </r>
  <r>
    <x v="2"/>
    <x v="96"/>
    <x v="0"/>
    <d v="2023-12-24T00:00:00"/>
    <n v="0.1"/>
    <s v="si"/>
    <n v="618750"/>
    <n v="117562.5"/>
    <n v="-736312.5"/>
  </r>
  <r>
    <x v="2"/>
    <x v="97"/>
    <x v="0"/>
    <d v="2023-12-24T00:00:00"/>
    <n v="0.08"/>
    <s v="si"/>
    <n v="495000"/>
    <n v="94050"/>
    <n v="-589050"/>
  </r>
  <r>
    <x v="2"/>
    <x v="98"/>
    <x v="0"/>
    <d v="2023-12-24T00:00:00"/>
    <n v="0.04"/>
    <s v="si"/>
    <n v="247500"/>
    <n v="47025"/>
    <n v="-294525"/>
  </r>
  <r>
    <x v="3"/>
    <x v="100"/>
    <x v="1"/>
    <d v="2023-12-26T00:00:00"/>
    <m/>
    <s v="si"/>
    <n v="12852000"/>
    <n v="2441880"/>
    <n v="15293880"/>
  </r>
  <r>
    <x v="3"/>
    <x v="101"/>
    <x v="0"/>
    <d v="2023-12-31T00:00:00"/>
    <n v="0.1"/>
    <s v="si"/>
    <n v="1285200"/>
    <n v="244188"/>
    <n v="-1529388"/>
  </r>
  <r>
    <x v="3"/>
    <x v="102"/>
    <x v="0"/>
    <d v="2023-12-31T00:00:00"/>
    <n v="0.08"/>
    <s v="si"/>
    <n v="1028160"/>
    <n v="195350.39999999999"/>
    <n v="-1223510.3999999999"/>
  </r>
  <r>
    <x v="3"/>
    <x v="103"/>
    <x v="0"/>
    <d v="2023-12-31T00:00:00"/>
    <n v="0.04"/>
    <s v="si"/>
    <n v="514080"/>
    <n v="97675.199999999997"/>
    <n v="-611755.19999999995"/>
  </r>
  <r>
    <x v="3"/>
    <x v="104"/>
    <x v="1"/>
    <d v="2023-12-28T00:00:00"/>
    <m/>
    <s v="si"/>
    <n v="12852000"/>
    <n v="2441880"/>
    <n v="15293880"/>
  </r>
  <r>
    <x v="3"/>
    <x v="101"/>
    <x v="0"/>
    <d v="2023-12-31T00:00:00"/>
    <n v="0.1"/>
    <s v="si"/>
    <n v="1285200"/>
    <n v="244188"/>
    <n v="-1529388"/>
  </r>
  <r>
    <x v="3"/>
    <x v="102"/>
    <x v="0"/>
    <d v="2023-12-31T00:00:00"/>
    <n v="0.08"/>
    <s v="si"/>
    <n v="1028160"/>
    <n v="195350.39999999999"/>
    <n v="-1223510.3999999999"/>
  </r>
  <r>
    <x v="3"/>
    <x v="103"/>
    <x v="0"/>
    <d v="2023-12-31T00:00:00"/>
    <n v="0.04"/>
    <s v="si"/>
    <n v="514080"/>
    <n v="97675.199999999997"/>
    <n v="-611755.19999999995"/>
  </r>
  <r>
    <x v="2"/>
    <x v="105"/>
    <x v="1"/>
    <d v="2023-12-28T00:00:00"/>
    <m/>
    <s v="si"/>
    <n v="6187500"/>
    <n v="1175625"/>
    <n v="7363125"/>
  </r>
  <r>
    <x v="2"/>
    <x v="101"/>
    <x v="0"/>
    <d v="2023-12-31T00:00:00"/>
    <n v="0.1"/>
    <s v="si"/>
    <n v="618750"/>
    <n v="117562.5"/>
    <n v="-736312.5"/>
  </r>
  <r>
    <x v="2"/>
    <x v="102"/>
    <x v="0"/>
    <d v="2023-12-31T00:00:00"/>
    <n v="0.08"/>
    <s v="si"/>
    <n v="495000"/>
    <n v="94050"/>
    <n v="-589050"/>
  </r>
  <r>
    <x v="2"/>
    <x v="103"/>
    <x v="0"/>
    <d v="2023-12-31T00:00:00"/>
    <n v="0.04"/>
    <s v="si"/>
    <n v="247500"/>
    <n v="47025"/>
    <n v="-294525"/>
  </r>
  <r>
    <x v="2"/>
    <x v="106"/>
    <x v="0"/>
    <d v="2024-01-02T00:00:00"/>
    <n v="1E-3"/>
    <s v="si"/>
    <n v="131256"/>
    <n v="24938.639999999999"/>
    <n v="-156194.64000000001"/>
  </r>
  <r>
    <x v="2"/>
    <x v="107"/>
    <x v="1"/>
    <d v="2024-01-02T00:00:00"/>
    <m/>
    <s v="si"/>
    <n v="6187500"/>
    <n v="1175625"/>
    <n v="7363125"/>
  </r>
  <r>
    <x v="2"/>
    <x v="108"/>
    <x v="0"/>
    <d v="2024-01-07T00:00:00"/>
    <n v="0.1"/>
    <s v="si"/>
    <n v="618750"/>
    <n v="117562.5"/>
    <n v="-736312.5"/>
  </r>
  <r>
    <x v="2"/>
    <x v="109"/>
    <x v="0"/>
    <d v="2024-01-07T00:00:00"/>
    <n v="0.08"/>
    <s v="si"/>
    <n v="495000"/>
    <n v="94050"/>
    <n v="-589050"/>
  </r>
  <r>
    <x v="2"/>
    <x v="110"/>
    <x v="0"/>
    <d v="2024-01-07T00:00:00"/>
    <n v="0.04"/>
    <s v="si"/>
    <n v="247500"/>
    <n v="47025"/>
    <n v="-294525"/>
  </r>
  <r>
    <x v="3"/>
    <x v="111"/>
    <x v="1"/>
    <d v="2024-01-02T00:00:00"/>
    <m/>
    <s v="si"/>
    <n v="12852000"/>
    <n v="2441880"/>
    <n v="15293880"/>
  </r>
  <r>
    <x v="3"/>
    <x v="108"/>
    <x v="0"/>
    <d v="2024-01-07T00:00:00"/>
    <n v="0.1"/>
    <s v="si"/>
    <n v="1285200"/>
    <n v="244188"/>
    <n v="-1529388"/>
  </r>
  <r>
    <x v="3"/>
    <x v="109"/>
    <x v="0"/>
    <d v="2024-01-07T00:00:00"/>
    <n v="0.08"/>
    <s v="si"/>
    <n v="1028160"/>
    <n v="195350.39999999999"/>
    <n v="-1223510.3999999999"/>
  </r>
  <r>
    <x v="3"/>
    <x v="110"/>
    <x v="0"/>
    <d v="2024-01-07T00:00:00"/>
    <n v="0.04"/>
    <s v="si"/>
    <n v="514080"/>
    <n v="97675.199999999997"/>
    <n v="-611755.19999999995"/>
  </r>
  <r>
    <x v="3"/>
    <x v="112"/>
    <x v="1"/>
    <d v="2024-01-04T00:00:00"/>
    <m/>
    <s v="si"/>
    <n v="12852000"/>
    <n v="2441880"/>
    <n v="15293880"/>
  </r>
  <r>
    <x v="3"/>
    <x v="113"/>
    <x v="0"/>
    <d v="2024-01-07T00:00:00"/>
    <n v="0.1"/>
    <s v="si"/>
    <n v="1285200"/>
    <n v="244188"/>
    <n v="-1529388"/>
  </r>
  <r>
    <x v="3"/>
    <x v="114"/>
    <x v="0"/>
    <d v="2024-01-07T00:00:00"/>
    <n v="0.08"/>
    <s v="si"/>
    <n v="1028160"/>
    <n v="195350.39999999999"/>
    <n v="-1223510.3999999999"/>
  </r>
  <r>
    <x v="3"/>
    <x v="115"/>
    <x v="0"/>
    <d v="2024-01-07T00:00:00"/>
    <n v="0.04"/>
    <s v="si"/>
    <n v="514080"/>
    <n v="97675.199999999997"/>
    <n v="-611755.19999999995"/>
  </r>
  <r>
    <x v="2"/>
    <x v="116"/>
    <x v="1"/>
    <d v="2024-01-04T00:00:00"/>
    <m/>
    <s v="si"/>
    <n v="6187500"/>
    <n v="1175625"/>
    <n v="7363125"/>
  </r>
  <r>
    <x v="2"/>
    <x v="113"/>
    <x v="0"/>
    <d v="2024-01-07T00:00:00"/>
    <n v="0.1"/>
    <s v="si"/>
    <n v="618750"/>
    <n v="117562.5"/>
    <n v="-736312.5"/>
  </r>
  <r>
    <x v="2"/>
    <x v="114"/>
    <x v="0"/>
    <d v="2024-01-07T00:00:00"/>
    <n v="0.08"/>
    <s v="si"/>
    <n v="495000"/>
    <n v="94050"/>
    <n v="-589050"/>
  </r>
  <r>
    <x v="2"/>
    <x v="115"/>
    <x v="0"/>
    <d v="2024-01-07T00:00:00"/>
    <n v="0.04"/>
    <s v="si"/>
    <n v="247500"/>
    <n v="47025"/>
    <n v="-294525"/>
  </r>
  <r>
    <x v="3"/>
    <x v="117"/>
    <x v="1"/>
    <d v="2024-01-08T00:00:00"/>
    <m/>
    <s v="si"/>
    <n v="12852000"/>
    <n v="2441880"/>
    <n v="15293880"/>
  </r>
  <r>
    <x v="3"/>
    <x v="118"/>
    <x v="0"/>
    <d v="2024-01-14T00:00:00"/>
    <n v="0.1"/>
    <s v="si"/>
    <n v="1285200"/>
    <n v="244188"/>
    <n v="-1529388"/>
  </r>
  <r>
    <x v="3"/>
    <x v="119"/>
    <x v="0"/>
    <d v="2024-01-14T00:00:00"/>
    <n v="0.08"/>
    <s v="si"/>
    <n v="1028160"/>
    <n v="195350.39999999999"/>
    <n v="-1223510.3999999999"/>
  </r>
  <r>
    <x v="3"/>
    <x v="120"/>
    <x v="0"/>
    <d v="2024-01-14T00:00:00"/>
    <n v="0.04"/>
    <s v="si"/>
    <n v="514080"/>
    <n v="97675.199999999997"/>
    <n v="-611755.19999999995"/>
  </r>
  <r>
    <x v="2"/>
    <x v="121"/>
    <x v="1"/>
    <d v="2024-01-08T00:00:00"/>
    <m/>
    <s v="si"/>
    <n v="6187500"/>
    <n v="1175625"/>
    <n v="7363125"/>
  </r>
  <r>
    <x v="2"/>
    <x v="118"/>
    <x v="0"/>
    <d v="2024-01-14T00:00:00"/>
    <n v="0.1"/>
    <s v="si"/>
    <n v="618750"/>
    <n v="117562.5"/>
    <n v="-736312.5"/>
  </r>
  <r>
    <x v="2"/>
    <x v="119"/>
    <x v="0"/>
    <d v="2024-01-14T00:00:00"/>
    <n v="0.08"/>
    <s v="si"/>
    <n v="495000"/>
    <n v="94050"/>
    <n v="-589050"/>
  </r>
  <r>
    <x v="2"/>
    <x v="120"/>
    <x v="0"/>
    <d v="2024-01-14T00:00:00"/>
    <n v="0.04"/>
    <s v="si"/>
    <n v="247500"/>
    <n v="47025"/>
    <n v="-294525"/>
  </r>
  <r>
    <x v="3"/>
    <x v="122"/>
    <x v="1"/>
    <d v="2024-01-11T00:00:00"/>
    <m/>
    <s v="si"/>
    <n v="12852000"/>
    <n v="2441880"/>
    <n v="15293880"/>
  </r>
  <r>
    <x v="3"/>
    <x v="118"/>
    <x v="0"/>
    <d v="2024-01-14T00:00:00"/>
    <n v="0.1"/>
    <s v="si"/>
    <n v="1285200"/>
    <n v="244188"/>
    <n v="-1529388"/>
  </r>
  <r>
    <x v="3"/>
    <x v="119"/>
    <x v="0"/>
    <d v="2024-01-14T00:00:00"/>
    <n v="0.08"/>
    <s v="si"/>
    <n v="1028160"/>
    <n v="195350.39999999999"/>
    <n v="-1223510.3999999999"/>
  </r>
  <r>
    <x v="3"/>
    <x v="120"/>
    <x v="0"/>
    <d v="2024-01-14T00:00:00"/>
    <n v="0.04"/>
    <s v="si"/>
    <n v="514080"/>
    <n v="97675.199999999997"/>
    <n v="-611755.19999999995"/>
  </r>
  <r>
    <x v="2"/>
    <x v="123"/>
    <x v="0"/>
    <d v="2024-02-03T00:00:00"/>
    <n v="1E-3"/>
    <s v="si"/>
    <n v="19040"/>
    <n v="3617.6"/>
    <n v="-22657.599999999999"/>
  </r>
  <r>
    <x v="2"/>
    <x v="124"/>
    <x v="0"/>
    <d v="2024-02-03T00:00:00"/>
    <n v="1E-3"/>
    <s v="si"/>
    <n v="50931"/>
    <n v="9676.89"/>
    <n v="-60607.89"/>
  </r>
  <r>
    <x v="1"/>
    <x v="9"/>
    <x v="1"/>
    <m/>
    <m/>
    <m/>
    <m/>
    <n v="0"/>
    <n v="0"/>
  </r>
  <r>
    <x v="1"/>
    <x v="9"/>
    <x v="0"/>
    <m/>
    <n v="0.1"/>
    <m/>
    <n v="0"/>
    <n v="0"/>
    <n v="0"/>
  </r>
  <r>
    <x v="1"/>
    <x v="9"/>
    <x v="0"/>
    <m/>
    <n v="0.08"/>
    <m/>
    <n v="0"/>
    <n v="0"/>
    <n v="0"/>
  </r>
  <r>
    <x v="1"/>
    <x v="9"/>
    <x v="0"/>
    <m/>
    <n v="0.04"/>
    <m/>
    <n v="0"/>
    <n v="0"/>
    <n v="0"/>
  </r>
  <r>
    <x v="1"/>
    <x v="9"/>
    <x v="1"/>
    <m/>
    <m/>
    <m/>
    <m/>
    <n v="0"/>
    <n v="0"/>
  </r>
  <r>
    <x v="1"/>
    <x v="9"/>
    <x v="0"/>
    <m/>
    <n v="0.1"/>
    <m/>
    <n v="0"/>
    <n v="0"/>
    <n v="0"/>
  </r>
  <r>
    <x v="1"/>
    <x v="9"/>
    <x v="0"/>
    <m/>
    <n v="0.08"/>
    <m/>
    <n v="0"/>
    <n v="0"/>
    <n v="0"/>
  </r>
  <r>
    <x v="1"/>
    <x v="9"/>
    <x v="0"/>
    <m/>
    <n v="0.04"/>
    <m/>
    <n v="0"/>
    <n v="0"/>
    <n v="0"/>
  </r>
  <r>
    <x v="1"/>
    <x v="9"/>
    <x v="1"/>
    <m/>
    <m/>
    <m/>
    <m/>
    <n v="0"/>
    <n v="0"/>
  </r>
  <r>
    <x v="1"/>
    <x v="9"/>
    <x v="0"/>
    <m/>
    <n v="0.1"/>
    <m/>
    <n v="0"/>
    <n v="0"/>
    <n v="0"/>
  </r>
  <r>
    <x v="1"/>
    <x v="9"/>
    <x v="0"/>
    <m/>
    <n v="0.08"/>
    <m/>
    <n v="0"/>
    <n v="0"/>
    <n v="0"/>
  </r>
  <r>
    <x v="1"/>
    <x v="9"/>
    <x v="0"/>
    <m/>
    <n v="0.04"/>
    <m/>
    <n v="0"/>
    <n v="0"/>
    <n v="0"/>
  </r>
  <r>
    <x v="1"/>
    <x v="9"/>
    <x v="1"/>
    <m/>
    <m/>
    <m/>
    <m/>
    <n v="0"/>
    <n v="0"/>
  </r>
  <r>
    <x v="1"/>
    <x v="9"/>
    <x v="0"/>
    <m/>
    <n v="0.1"/>
    <m/>
    <n v="0"/>
    <n v="0"/>
    <n v="0"/>
  </r>
  <r>
    <x v="1"/>
    <x v="9"/>
    <x v="0"/>
    <m/>
    <n v="0.08"/>
    <m/>
    <n v="0"/>
    <n v="0"/>
    <n v="0"/>
  </r>
  <r>
    <x v="1"/>
    <x v="9"/>
    <x v="0"/>
    <m/>
    <n v="0.04"/>
    <m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B9C11-4E32-4160-9209-BE6043181460}" name="TablaDinámica2" cacheId="6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49" firstHeaderRow="1" firstDataRow="1" firstDataCol="1" rowPageCount="2" colPageCount="1"/>
  <pivotFields count="9">
    <pivotField axis="axisPage" showAll="0">
      <items count="5">
        <item x="2"/>
        <item x="3"/>
        <item x="1"/>
        <item x="0"/>
        <item t="default"/>
      </items>
    </pivotField>
    <pivotField axis="axisRow" showAll="0">
      <items count="126">
        <item x="2"/>
        <item x="6"/>
        <item x="7"/>
        <item x="10"/>
        <item x="16"/>
        <item x="17"/>
        <item x="18"/>
        <item x="22"/>
        <item x="23"/>
        <item x="27"/>
        <item x="28"/>
        <item x="29"/>
        <item x="30"/>
        <item x="33"/>
        <item x="34"/>
        <item x="35"/>
        <item x="36"/>
        <item x="39"/>
        <item x="43"/>
        <item x="44"/>
        <item x="48"/>
        <item x="54"/>
        <item x="58"/>
        <item x="59"/>
        <item x="60"/>
        <item x="65"/>
        <item x="67"/>
        <item x="68"/>
        <item x="72"/>
        <item x="73"/>
        <item x="77"/>
        <item x="80"/>
        <item x="84"/>
        <item x="85"/>
        <item x="86"/>
        <item x="88"/>
        <item x="89"/>
        <item x="93"/>
        <item x="95"/>
        <item x="99"/>
        <item x="100"/>
        <item x="104"/>
        <item x="105"/>
        <item x="107"/>
        <item x="111"/>
        <item x="112"/>
        <item x="116"/>
        <item x="117"/>
        <item x="121"/>
        <item x="122"/>
        <item x="0"/>
        <item x="3"/>
        <item x="5"/>
        <item x="4"/>
        <item x="15"/>
        <item x="12"/>
        <item x="14"/>
        <item x="13"/>
        <item x="19"/>
        <item x="21"/>
        <item x="20"/>
        <item x="24"/>
        <item x="32"/>
        <item x="26"/>
        <item x="25"/>
        <item x="31"/>
        <item x="40"/>
        <item x="38"/>
        <item x="42"/>
        <item x="41"/>
        <item x="37"/>
        <item x="45"/>
        <item x="47"/>
        <item x="46"/>
        <item x="52"/>
        <item x="53"/>
        <item x="49"/>
        <item x="51"/>
        <item x="50"/>
        <item x="55"/>
        <item x="57"/>
        <item x="56"/>
        <item x="62"/>
        <item x="64"/>
        <item x="63"/>
        <item x="69"/>
        <item x="71"/>
        <item x="70"/>
        <item x="74"/>
        <item x="76"/>
        <item x="75"/>
        <item x="87"/>
        <item x="81"/>
        <item x="83"/>
        <item x="82"/>
        <item x="90"/>
        <item x="91"/>
        <item x="92"/>
        <item x="96"/>
        <item x="98"/>
        <item x="97"/>
        <item x="101"/>
        <item x="102"/>
        <item x="103"/>
        <item x="106"/>
        <item x="108"/>
        <item x="115"/>
        <item x="114"/>
        <item x="113"/>
        <item x="109"/>
        <item x="110"/>
        <item x="118"/>
        <item x="120"/>
        <item x="119"/>
        <item x="123"/>
        <item x="124"/>
        <item x="1"/>
        <item x="61"/>
        <item x="66"/>
        <item x="78"/>
        <item x="79"/>
        <item x="94"/>
        <item x="8"/>
        <item x="11"/>
        <item x="9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numFmtId="41" showAll="0"/>
    <pivotField numFmtId="41" showAll="0"/>
  </pivotFields>
  <rowFields count="1">
    <field x="1"/>
  </rowFields>
  <rowItems count="45"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124"/>
    </i>
    <i t="grand">
      <x/>
    </i>
  </rowItems>
  <colItems count="1">
    <i/>
  </colItems>
  <pageFields count="2">
    <pageField fld="0" item="2" hier="-1"/>
    <pageField fld="2" item="0" hier="-1"/>
  </pageFields>
  <dataFields count="1">
    <dataField name="Suma de MONTO $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95BF-44A6-4897-93E1-6E99896E4238}">
  <sheetPr>
    <tabColor theme="9" tint="0.59999389629810485"/>
  </sheetPr>
  <dimension ref="A1:B31"/>
  <sheetViews>
    <sheetView topLeftCell="A4" zoomScale="70" zoomScaleNormal="70" workbookViewId="0">
      <selection activeCell="B31" sqref="B31"/>
    </sheetView>
  </sheetViews>
  <sheetFormatPr baseColWidth="10" defaultRowHeight="15" x14ac:dyDescent="0.25"/>
  <cols>
    <col min="2" max="2" width="12.85546875" bestFit="1" customWidth="1"/>
  </cols>
  <sheetData>
    <row r="1" spans="1:2" x14ac:dyDescent="0.25">
      <c r="A1" s="2" t="s">
        <v>300</v>
      </c>
    </row>
    <row r="2" spans="1:2" x14ac:dyDescent="0.25">
      <c r="A2" t="s">
        <v>301</v>
      </c>
      <c r="B2" s="97">
        <v>53186055</v>
      </c>
    </row>
    <row r="30" spans="1:2" x14ac:dyDescent="0.25">
      <c r="A30" s="2" t="s">
        <v>358</v>
      </c>
    </row>
    <row r="31" spans="1:2" x14ac:dyDescent="0.25">
      <c r="A31" t="s">
        <v>301</v>
      </c>
      <c r="B31" s="97">
        <v>22106521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AB87-A899-498C-90F7-3429F0DFD65B}">
  <dimension ref="A1:M15"/>
  <sheetViews>
    <sheetView workbookViewId="0">
      <selection activeCell="G11" sqref="G11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586</v>
      </c>
      <c r="F2" s="120" t="s">
        <v>587</v>
      </c>
      <c r="G2" s="120" t="s">
        <v>588</v>
      </c>
      <c r="H2" s="120" t="s">
        <v>589</v>
      </c>
      <c r="I2" s="122">
        <v>2758549</v>
      </c>
      <c r="J2" s="120" t="s">
        <v>83</v>
      </c>
      <c r="K2" s="120" t="s">
        <v>84</v>
      </c>
      <c r="L2" s="120" t="s">
        <v>590</v>
      </c>
      <c r="M2" s="124">
        <f t="shared" ref="M2" si="0">+I2/1.19</f>
        <v>2318108.4033613447</v>
      </c>
    </row>
    <row r="3" spans="1:13" x14ac:dyDescent="0.25">
      <c r="A3" s="121">
        <v>0.1</v>
      </c>
      <c r="B3" s="120" t="s">
        <v>80</v>
      </c>
      <c r="C3" s="120" t="s">
        <v>81</v>
      </c>
      <c r="D3" s="120" t="s">
        <v>82</v>
      </c>
      <c r="E3" s="120" t="s">
        <v>591</v>
      </c>
      <c r="F3" s="120" t="s">
        <v>592</v>
      </c>
      <c r="G3" s="120" t="s">
        <v>588</v>
      </c>
      <c r="H3" s="120" t="s">
        <v>589</v>
      </c>
      <c r="I3" s="122">
        <v>3448186</v>
      </c>
      <c r="J3" s="120" t="s">
        <v>83</v>
      </c>
      <c r="K3" s="120" t="s">
        <v>84</v>
      </c>
      <c r="L3" s="120" t="s">
        <v>593</v>
      </c>
      <c r="M3" s="124">
        <f>+I3/1.19</f>
        <v>2897635.2941176472</v>
      </c>
    </row>
    <row r="4" spans="1:13" x14ac:dyDescent="0.25">
      <c r="A4" s="121">
        <v>0.04</v>
      </c>
      <c r="B4" s="120" t="s">
        <v>80</v>
      </c>
      <c r="C4" s="120" t="s">
        <v>81</v>
      </c>
      <c r="D4" s="120" t="s">
        <v>82</v>
      </c>
      <c r="E4" s="120" t="s">
        <v>594</v>
      </c>
      <c r="F4" s="120" t="s">
        <v>595</v>
      </c>
      <c r="G4" s="120" t="s">
        <v>588</v>
      </c>
      <c r="H4" s="120" t="s">
        <v>589</v>
      </c>
      <c r="I4" s="122">
        <v>1379274</v>
      </c>
      <c r="J4" s="120" t="s">
        <v>83</v>
      </c>
      <c r="K4" s="120" t="s">
        <v>84</v>
      </c>
      <c r="L4" s="120" t="s">
        <v>596</v>
      </c>
      <c r="M4" s="124">
        <f>+I4/1.19</f>
        <v>1159053.781512605</v>
      </c>
    </row>
    <row r="5" spans="1:13" x14ac:dyDescent="0.25">
      <c r="A5" s="121"/>
      <c r="B5"/>
      <c r="C5"/>
      <c r="D5"/>
      <c r="E5"/>
      <c r="F5"/>
      <c r="G5"/>
      <c r="H5"/>
      <c r="I5" s="214"/>
      <c r="J5"/>
      <c r="K5"/>
      <c r="L5"/>
      <c r="M5" s="215"/>
    </row>
    <row r="6" spans="1:13" x14ac:dyDescent="0.25">
      <c r="I6" s="123"/>
    </row>
    <row r="7" spans="1:13" x14ac:dyDescent="0.25">
      <c r="C7" s="93"/>
      <c r="D7" s="93"/>
      <c r="E7" s="93"/>
      <c r="F7" s="93"/>
      <c r="G7" s="93"/>
      <c r="H7" s="93"/>
    </row>
    <row r="8" spans="1:13" x14ac:dyDescent="0.25">
      <c r="C8" s="125" t="s">
        <v>600</v>
      </c>
      <c r="D8" s="93"/>
      <c r="E8" s="125"/>
      <c r="F8" s="93"/>
      <c r="G8" s="93"/>
      <c r="H8" s="93"/>
    </row>
    <row r="9" spans="1:13" x14ac:dyDescent="0.25">
      <c r="C9" s="125" t="s">
        <v>597</v>
      </c>
      <c r="D9" s="125"/>
      <c r="E9" s="93"/>
      <c r="F9" s="93"/>
      <c r="G9" s="93"/>
      <c r="H9" s="93"/>
    </row>
    <row r="10" spans="1:13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3" x14ac:dyDescent="0.25">
      <c r="C11" s="121">
        <v>0.1</v>
      </c>
      <c r="D11" s="127">
        <v>20671479</v>
      </c>
      <c r="E11" s="176" t="s">
        <v>598</v>
      </c>
      <c r="F11" s="129">
        <f>+M3</f>
        <v>2897635.2941176472</v>
      </c>
      <c r="G11" s="129">
        <f>+'CTA CORRIENTE'!H231+'CTA CORRIENTE'!H237</f>
        <v>2897634.5</v>
      </c>
      <c r="H11" s="130">
        <f>+G11-F11</f>
        <v>-0.79411764722317457</v>
      </c>
    </row>
    <row r="12" spans="1:13" x14ac:dyDescent="0.25">
      <c r="C12" s="121">
        <v>0.08</v>
      </c>
      <c r="D12" s="127">
        <v>20672987</v>
      </c>
      <c r="E12" s="176" t="str">
        <f>+E11</f>
        <v>F1133-1134</v>
      </c>
      <c r="F12" s="129">
        <f>+M2</f>
        <v>2318108.4033613447</v>
      </c>
      <c r="G12" s="129">
        <f>+'CTA CORRIENTE'!H232+'CTA CORRIENTE'!H238</f>
        <v>2318107.6</v>
      </c>
      <c r="H12" s="130">
        <f>+G12-F12</f>
        <v>-0.80336134461686015</v>
      </c>
    </row>
    <row r="13" spans="1:13" x14ac:dyDescent="0.25">
      <c r="C13" s="121">
        <v>0.04</v>
      </c>
      <c r="D13" s="127">
        <v>20672114</v>
      </c>
      <c r="E13" s="176" t="str">
        <f>+E12</f>
        <v>F1133-1134</v>
      </c>
      <c r="F13" s="129">
        <f>+M4</f>
        <v>1159053.781512605</v>
      </c>
      <c r="G13" s="129">
        <f>+'CTA CORRIENTE'!H233+'CTA CORRIENTE'!H239</f>
        <v>1159053.8</v>
      </c>
      <c r="H13" s="130">
        <f t="shared" ref="H13" si="1">+G13-F13</f>
        <v>1.8487395020201802E-2</v>
      </c>
    </row>
    <row r="14" spans="1:13" x14ac:dyDescent="0.25">
      <c r="C14" s="133" t="s">
        <v>91</v>
      </c>
      <c r="D14" s="133"/>
      <c r="E14" s="133"/>
      <c r="F14" s="134">
        <f>+SUM(F11:F13)</f>
        <v>6374797.478991597</v>
      </c>
      <c r="G14" s="134">
        <f>+SUM(G11:G13)</f>
        <v>6374795.8999999994</v>
      </c>
      <c r="H14" s="134">
        <f>+SUM(H11:H13)</f>
        <v>-1.5789915968198329</v>
      </c>
    </row>
    <row r="15" spans="1:13" x14ac:dyDescent="0.25">
      <c r="C15" s="133" t="s">
        <v>92</v>
      </c>
      <c r="D15" s="133"/>
      <c r="E15" s="133"/>
      <c r="F15" s="135"/>
      <c r="G15" s="134">
        <f>+F14-G14</f>
        <v>1.5789915975183249</v>
      </c>
      <c r="H15" s="1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1745-A44B-43AB-BF27-165296C5FADF}">
  <dimension ref="A1:M17"/>
  <sheetViews>
    <sheetView workbookViewId="0">
      <selection activeCell="C14" sqref="C14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565</v>
      </c>
      <c r="F2" s="120" t="s">
        <v>566</v>
      </c>
      <c r="G2" s="120" t="s">
        <v>567</v>
      </c>
      <c r="H2" s="120" t="s">
        <v>568</v>
      </c>
      <c r="I2" s="122">
        <v>244555</v>
      </c>
      <c r="J2" s="120" t="s">
        <v>83</v>
      </c>
      <c r="K2" s="120" t="s">
        <v>84</v>
      </c>
      <c r="L2" s="120" t="s">
        <v>569</v>
      </c>
      <c r="M2" s="124">
        <f t="shared" ref="M2:M4" si="0">+I2/1.19</f>
        <v>205508.40336134454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570</v>
      </c>
      <c r="F3" s="120" t="s">
        <v>571</v>
      </c>
      <c r="G3" s="120" t="s">
        <v>567</v>
      </c>
      <c r="H3" s="120" t="s">
        <v>568</v>
      </c>
      <c r="I3" s="122">
        <v>122277</v>
      </c>
      <c r="J3" s="120" t="s">
        <v>83</v>
      </c>
      <c r="K3" s="120" t="s">
        <v>84</v>
      </c>
      <c r="L3" s="120" t="s">
        <v>572</v>
      </c>
      <c r="M3" s="124">
        <f t="shared" si="0"/>
        <v>102753.78151260504</v>
      </c>
    </row>
    <row r="4" spans="1:13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573</v>
      </c>
      <c r="F4" s="120" t="s">
        <v>574</v>
      </c>
      <c r="G4" s="120" t="s">
        <v>567</v>
      </c>
      <c r="H4" s="120" t="s">
        <v>568</v>
      </c>
      <c r="I4" s="122">
        <v>305693</v>
      </c>
      <c r="J4" s="120" t="s">
        <v>83</v>
      </c>
      <c r="K4" s="120" t="s">
        <v>84</v>
      </c>
      <c r="L4" s="120" t="s">
        <v>575</v>
      </c>
      <c r="M4" s="124">
        <f t="shared" si="0"/>
        <v>256884.87394957984</v>
      </c>
    </row>
    <row r="5" spans="1:13" x14ac:dyDescent="0.25">
      <c r="A5" s="93">
        <v>0.1</v>
      </c>
      <c r="B5" s="120" t="s">
        <v>80</v>
      </c>
      <c r="C5" s="120" t="s">
        <v>81</v>
      </c>
      <c r="D5" s="120" t="s">
        <v>82</v>
      </c>
      <c r="E5" s="120" t="s">
        <v>576</v>
      </c>
      <c r="F5" s="120" t="s">
        <v>577</v>
      </c>
      <c r="G5" s="120" t="s">
        <v>578</v>
      </c>
      <c r="H5" s="120" t="s">
        <v>579</v>
      </c>
      <c r="I5" s="122">
        <v>60608</v>
      </c>
      <c r="J5" s="120" t="s">
        <v>83</v>
      </c>
      <c r="K5" s="120" t="s">
        <v>84</v>
      </c>
      <c r="L5" s="120" t="s">
        <v>580</v>
      </c>
      <c r="M5" s="124">
        <f>+I5/1.19</f>
        <v>50931.092436974795</v>
      </c>
    </row>
    <row r="6" spans="1:13" x14ac:dyDescent="0.25">
      <c r="A6" s="93">
        <v>0.1</v>
      </c>
      <c r="B6" s="120" t="s">
        <v>80</v>
      </c>
      <c r="C6" s="120" t="s">
        <v>81</v>
      </c>
      <c r="D6" s="120" t="s">
        <v>82</v>
      </c>
      <c r="E6" s="120" t="s">
        <v>581</v>
      </c>
      <c r="F6" s="120" t="s">
        <v>582</v>
      </c>
      <c r="G6" s="120" t="s">
        <v>578</v>
      </c>
      <c r="H6" s="120" t="s">
        <v>579</v>
      </c>
      <c r="I6" s="122">
        <v>22658</v>
      </c>
      <c r="J6" s="120" t="s">
        <v>83</v>
      </c>
      <c r="K6" s="120" t="s">
        <v>84</v>
      </c>
      <c r="L6" s="120" t="s">
        <v>583</v>
      </c>
      <c r="M6" s="124">
        <f>+I6/1.19</f>
        <v>19040.336134453781</v>
      </c>
    </row>
    <row r="7" spans="1:13" x14ac:dyDescent="0.25">
      <c r="A7" s="121"/>
      <c r="B7"/>
      <c r="C7"/>
      <c r="D7"/>
      <c r="E7"/>
      <c r="F7"/>
      <c r="G7"/>
      <c r="H7"/>
      <c r="I7" s="214"/>
      <c r="J7"/>
      <c r="K7"/>
      <c r="L7"/>
      <c r="M7" s="215"/>
    </row>
    <row r="8" spans="1:13" x14ac:dyDescent="0.25">
      <c r="I8" s="123"/>
    </row>
    <row r="9" spans="1:13" x14ac:dyDescent="0.25">
      <c r="C9" s="93"/>
      <c r="D9" s="93"/>
      <c r="E9" s="93"/>
      <c r="F9" s="93"/>
      <c r="G9" s="93"/>
      <c r="H9" s="93"/>
    </row>
    <row r="10" spans="1:13" x14ac:dyDescent="0.25">
      <c r="C10" s="125" t="s">
        <v>564</v>
      </c>
      <c r="D10" s="93"/>
      <c r="E10" s="125"/>
      <c r="F10" s="93"/>
      <c r="G10" s="93"/>
      <c r="H10" s="93"/>
    </row>
    <row r="11" spans="1:13" x14ac:dyDescent="0.25">
      <c r="C11" s="125" t="s">
        <v>585</v>
      </c>
      <c r="D11" s="125"/>
      <c r="E11" s="93"/>
      <c r="F11" s="93"/>
      <c r="G11" s="93"/>
      <c r="H11" s="93"/>
    </row>
    <row r="12" spans="1:13" x14ac:dyDescent="0.25">
      <c r="C12" s="126" t="s">
        <v>85</v>
      </c>
      <c r="D12" s="126" t="s">
        <v>86</v>
      </c>
      <c r="E12" s="126" t="s">
        <v>87</v>
      </c>
      <c r="F12" s="126" t="s">
        <v>88</v>
      </c>
      <c r="G12" s="126" t="s">
        <v>89</v>
      </c>
      <c r="H12" s="126" t="s">
        <v>90</v>
      </c>
    </row>
    <row r="13" spans="1:13" x14ac:dyDescent="0.25">
      <c r="C13" s="121">
        <v>0.1</v>
      </c>
      <c r="D13" s="127">
        <v>20667586</v>
      </c>
      <c r="E13" s="176" t="s">
        <v>584</v>
      </c>
      <c r="F13" s="129">
        <f>+M4</f>
        <v>256884.87394957984</v>
      </c>
      <c r="G13" s="129">
        <f>+'CTA CORRIENTE'!H227</f>
        <v>256885</v>
      </c>
      <c r="H13" s="130">
        <f>+G13-F13</f>
        <v>0.12605042016366497</v>
      </c>
    </row>
    <row r="14" spans="1:13" x14ac:dyDescent="0.25">
      <c r="C14" s="121">
        <v>0.08</v>
      </c>
      <c r="D14" s="127">
        <v>20668801</v>
      </c>
      <c r="E14" s="176" t="str">
        <f>+E13</f>
        <v>F1129</v>
      </c>
      <c r="F14" s="129">
        <f>+M2</f>
        <v>205508.40336134454</v>
      </c>
      <c r="G14" s="129">
        <f>+'CTA CORRIENTE'!H228</f>
        <v>205508</v>
      </c>
      <c r="H14" s="130">
        <f>+G14-F14</f>
        <v>-0.40336134453536943</v>
      </c>
    </row>
    <row r="15" spans="1:13" x14ac:dyDescent="0.25">
      <c r="C15" s="121">
        <v>0.04</v>
      </c>
      <c r="D15" s="127">
        <v>20668390</v>
      </c>
      <c r="E15" s="176" t="str">
        <f>+E14</f>
        <v>F1129</v>
      </c>
      <c r="F15" s="129">
        <f>+M3</f>
        <v>102753.78151260504</v>
      </c>
      <c r="G15" s="129">
        <f>+'CTA CORRIENTE'!H229</f>
        <v>102754</v>
      </c>
      <c r="H15" s="130">
        <f t="shared" ref="H15" si="1">+G15-F15</f>
        <v>0.21848739495908376</v>
      </c>
    </row>
    <row r="16" spans="1:13" x14ac:dyDescent="0.25">
      <c r="C16" s="133" t="s">
        <v>91</v>
      </c>
      <c r="D16" s="133"/>
      <c r="E16" s="133"/>
      <c r="F16" s="134">
        <f>+SUM(F13:F15)</f>
        <v>565147.0588235294</v>
      </c>
      <c r="G16" s="134">
        <f>+SUM(G13:G15)</f>
        <v>565147</v>
      </c>
      <c r="H16" s="134">
        <f>+SUM(H13:H15)</f>
        <v>-5.8823529412620701E-2</v>
      </c>
    </row>
    <row r="17" spans="3:8" x14ac:dyDescent="0.25">
      <c r="C17" s="133" t="s">
        <v>92</v>
      </c>
      <c r="D17" s="133"/>
      <c r="E17" s="133"/>
      <c r="F17" s="135"/>
      <c r="G17" s="134">
        <f>+F16-G16</f>
        <v>5.8823529398068786E-2</v>
      </c>
      <c r="H17" s="1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BB89-D462-4FB1-A21C-2E26D966FDBF}">
  <dimension ref="A1:M14"/>
  <sheetViews>
    <sheetView workbookViewId="0">
      <selection activeCell="F2" sqref="F2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544</v>
      </c>
      <c r="F2" s="120" t="s">
        <v>545</v>
      </c>
      <c r="G2" s="120" t="s">
        <v>546</v>
      </c>
      <c r="H2" s="120" t="s">
        <v>547</v>
      </c>
      <c r="I2" s="122">
        <v>3795089</v>
      </c>
      <c r="J2" s="120" t="s">
        <v>83</v>
      </c>
      <c r="K2" s="120" t="s">
        <v>84</v>
      </c>
      <c r="L2" s="120" t="s">
        <v>548</v>
      </c>
      <c r="M2" s="124">
        <f>+I2/1.19</f>
        <v>3189150.4201680673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552</v>
      </c>
      <c r="F3" s="120" t="s">
        <v>553</v>
      </c>
      <c r="G3" s="120" t="s">
        <v>546</v>
      </c>
      <c r="H3" s="120" t="s">
        <v>547</v>
      </c>
      <c r="I3" s="122">
        <v>1518035</v>
      </c>
      <c r="J3" s="120" t="s">
        <v>83</v>
      </c>
      <c r="K3" s="120" t="s">
        <v>84</v>
      </c>
      <c r="L3" s="120" t="s">
        <v>554</v>
      </c>
      <c r="M3" s="124">
        <f>+I3/1.19</f>
        <v>1275659.6638655462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549</v>
      </c>
      <c r="F4" s="120" t="s">
        <v>550</v>
      </c>
      <c r="G4" s="120" t="s">
        <v>546</v>
      </c>
      <c r="H4" s="120" t="s">
        <v>547</v>
      </c>
      <c r="I4" s="122">
        <v>3036071</v>
      </c>
      <c r="J4" s="120" t="s">
        <v>83</v>
      </c>
      <c r="K4" s="120" t="s">
        <v>84</v>
      </c>
      <c r="L4" s="120" t="s">
        <v>551</v>
      </c>
      <c r="M4" s="124">
        <f>+I4/1.19</f>
        <v>2551320.1680672271</v>
      </c>
    </row>
    <row r="5" spans="1:13" x14ac:dyDescent="0.25">
      <c r="B5"/>
      <c r="C5"/>
      <c r="D5"/>
      <c r="E5"/>
      <c r="F5"/>
      <c r="G5"/>
      <c r="H5"/>
      <c r="I5" s="214"/>
      <c r="J5"/>
      <c r="K5"/>
      <c r="L5"/>
    </row>
    <row r="6" spans="1:13" x14ac:dyDescent="0.25">
      <c r="B6"/>
      <c r="C6"/>
      <c r="D6"/>
      <c r="E6"/>
      <c r="F6"/>
      <c r="G6"/>
      <c r="H6"/>
      <c r="I6" s="214"/>
      <c r="J6"/>
      <c r="K6"/>
      <c r="L6"/>
    </row>
    <row r="7" spans="1:13" x14ac:dyDescent="0.25">
      <c r="C7" s="125" t="s">
        <v>556</v>
      </c>
      <c r="D7" s="93"/>
      <c r="E7" s="125"/>
      <c r="F7" s="93"/>
      <c r="G7" s="93"/>
      <c r="H7" s="93"/>
    </row>
    <row r="8" spans="1:13" x14ac:dyDescent="0.25">
      <c r="C8" s="125" t="s">
        <v>555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20148053</v>
      </c>
      <c r="E10" s="176" t="s">
        <v>557</v>
      </c>
      <c r="F10" s="129">
        <f>+M2</f>
        <v>3189150.4201680673</v>
      </c>
      <c r="G10" s="129">
        <f>+'CTA CORRIENTE'!H213+'CTA CORRIENTE'!H217+'CTA CORRIENTE'!H221</f>
        <v>3189150</v>
      </c>
      <c r="H10" s="130">
        <f>+G10-F10</f>
        <v>-0.42016806732863188</v>
      </c>
    </row>
    <row r="11" spans="1:13" x14ac:dyDescent="0.25">
      <c r="C11" s="121">
        <v>0.08</v>
      </c>
      <c r="D11" s="127">
        <v>20150410</v>
      </c>
      <c r="E11" s="176" t="s">
        <v>557</v>
      </c>
      <c r="F11" s="129">
        <f>+M4</f>
        <v>2551320.1680672271</v>
      </c>
      <c r="G11" s="129">
        <f>+'CTA CORRIENTE'!H214+'CTA CORRIENTE'!H218+'CTA CORRIENTE'!H222</f>
        <v>2551320</v>
      </c>
      <c r="H11" s="130">
        <f>+G11-F11</f>
        <v>-0.16806722711771727</v>
      </c>
    </row>
    <row r="12" spans="1:13" x14ac:dyDescent="0.25">
      <c r="C12" s="121">
        <v>0.04</v>
      </c>
      <c r="D12" s="127">
        <v>20149648</v>
      </c>
      <c r="E12" s="176" t="s">
        <v>557</v>
      </c>
      <c r="F12" s="129">
        <f>+M3</f>
        <v>1275659.6638655462</v>
      </c>
      <c r="G12" s="129">
        <f>+'CTA CORRIENTE'!H215+'CTA CORRIENTE'!H219+'CTA CORRIENTE'!H223</f>
        <v>1275660</v>
      </c>
      <c r="H12" s="130">
        <f t="shared" ref="H12" si="0">+G12-F12</f>
        <v>0.33613445376977324</v>
      </c>
    </row>
    <row r="13" spans="1:13" x14ac:dyDescent="0.25">
      <c r="C13" s="133" t="s">
        <v>91</v>
      </c>
      <c r="D13" s="133"/>
      <c r="E13" s="133"/>
      <c r="F13" s="134">
        <f>+SUM(F10:F12)</f>
        <v>7016130.2521008402</v>
      </c>
      <c r="G13" s="134">
        <f>+SUM(G10:G12)</f>
        <v>7016130</v>
      </c>
      <c r="H13" s="134">
        <f>+SUM(H10:H12)</f>
        <v>-0.2521008406765759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0.25210084021091461</v>
      </c>
      <c r="H14" s="1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935D-2328-46A8-B185-C5913DA287DB}">
  <sheetPr>
    <tabColor theme="9" tint="-0.249977111117893"/>
  </sheetPr>
  <dimension ref="C2:AD53"/>
  <sheetViews>
    <sheetView topLeftCell="W7" zoomScaleNormal="100" workbookViewId="0">
      <selection activeCell="AD47" sqref="AD47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35344928</v>
      </c>
      <c r="I4" s="60"/>
      <c r="J4" s="59" t="s">
        <v>36</v>
      </c>
      <c r="K4" s="62">
        <v>70178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226890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529</v>
      </c>
      <c r="E6" s="64"/>
      <c r="F6" s="63"/>
      <c r="G6" s="63" t="s">
        <v>46</v>
      </c>
      <c r="H6" s="66">
        <v>35118038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914984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35047860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36857.980000000003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529</v>
      </c>
      <c r="H10" s="76">
        <v>1240023229</v>
      </c>
      <c r="I10" s="247" t="s">
        <v>68</v>
      </c>
      <c r="J10" s="249"/>
      <c r="K10" s="78" t="s">
        <v>530</v>
      </c>
      <c r="L10" s="248" t="s">
        <v>502</v>
      </c>
      <c r="M10" s="249"/>
      <c r="N10" s="77" t="s">
        <v>212</v>
      </c>
      <c r="O10" s="76">
        <v>-2265701</v>
      </c>
      <c r="P10" s="76">
        <v>-2265701</v>
      </c>
      <c r="Q10" s="79" t="s">
        <v>531</v>
      </c>
      <c r="R10" s="76">
        <v>-11358.71</v>
      </c>
      <c r="S10" s="76">
        <v>-2254342</v>
      </c>
      <c r="T10" s="56"/>
      <c r="U10" s="82">
        <f t="shared" ref="U10:U19" si="0">+R10/P10</f>
        <v>5.0133314148689519E-3</v>
      </c>
      <c r="V10" s="87">
        <f t="shared" ref="V10:V19" si="1">+U10*P10</f>
        <v>-11358.71</v>
      </c>
      <c r="W10" s="84">
        <f t="shared" ref="W10:W19" si="2">+P10-V10</f>
        <v>-2254342.29</v>
      </c>
      <c r="X10" s="84"/>
      <c r="Y10" s="88">
        <f>+Q10%*(N10/30)*P10</f>
        <v>-11358.714346666664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529</v>
      </c>
      <c r="H11" s="76">
        <v>1240023229</v>
      </c>
      <c r="I11" s="247" t="s">
        <v>68</v>
      </c>
      <c r="J11" s="249"/>
      <c r="K11" s="78" t="s">
        <v>532</v>
      </c>
      <c r="L11" s="248" t="s">
        <v>502</v>
      </c>
      <c r="M11" s="249"/>
      <c r="N11" s="77" t="s">
        <v>212</v>
      </c>
      <c r="O11" s="76">
        <v>-906280</v>
      </c>
      <c r="P11" s="76">
        <v>-906280</v>
      </c>
      <c r="Q11" s="79" t="s">
        <v>531</v>
      </c>
      <c r="R11" s="76">
        <v>-4543.4799999999996</v>
      </c>
      <c r="S11" s="76">
        <v>-901737</v>
      </c>
      <c r="T11" s="56"/>
      <c r="U11" s="82">
        <f t="shared" si="0"/>
        <v>5.0133292139294692E-3</v>
      </c>
      <c r="V11" s="87">
        <f t="shared" si="1"/>
        <v>-4543.4799999999996</v>
      </c>
      <c r="W11" s="84">
        <f t="shared" si="2"/>
        <v>-901736.52</v>
      </c>
      <c r="X11" s="84"/>
      <c r="Y11" s="88">
        <f t="shared" ref="Y11:Y40" si="3">+Q11%*(N11/30)*P11</f>
        <v>-4543.4837333333326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529</v>
      </c>
      <c r="H12" s="76">
        <v>1240023229</v>
      </c>
      <c r="I12" s="247" t="s">
        <v>68</v>
      </c>
      <c r="J12" s="249"/>
      <c r="K12" s="78" t="s">
        <v>533</v>
      </c>
      <c r="L12" s="248" t="s">
        <v>502</v>
      </c>
      <c r="M12" s="249"/>
      <c r="N12" s="77" t="s">
        <v>212</v>
      </c>
      <c r="O12" s="76">
        <v>-1812560</v>
      </c>
      <c r="P12" s="76">
        <v>-1812560</v>
      </c>
      <c r="Q12" s="79" t="s">
        <v>531</v>
      </c>
      <c r="R12" s="76">
        <v>-9086.9699999999993</v>
      </c>
      <c r="S12" s="76">
        <v>-1803473</v>
      </c>
      <c r="T12" s="56"/>
      <c r="U12" s="82">
        <f t="shared" si="0"/>
        <v>5.0133347309882148E-3</v>
      </c>
      <c r="V12" s="87">
        <f t="shared" si="1"/>
        <v>-9086.9699999999993</v>
      </c>
      <c r="W12" s="84">
        <f t="shared" si="2"/>
        <v>-1803473.03</v>
      </c>
      <c r="X12" s="83"/>
      <c r="Y12" s="88">
        <f t="shared" si="3"/>
        <v>-9086.9674666666651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529</v>
      </c>
      <c r="H13" s="76">
        <v>1240023229</v>
      </c>
      <c r="I13" s="247" t="s">
        <v>68</v>
      </c>
      <c r="J13" s="249"/>
      <c r="K13" s="78" t="s">
        <v>534</v>
      </c>
      <c r="L13" s="248" t="s">
        <v>502</v>
      </c>
      <c r="M13" s="249"/>
      <c r="N13" s="77" t="s">
        <v>212</v>
      </c>
      <c r="O13" s="76">
        <v>-2265701</v>
      </c>
      <c r="P13" s="76">
        <v>-2265701</v>
      </c>
      <c r="Q13" s="79" t="s">
        <v>531</v>
      </c>
      <c r="R13" s="76">
        <v>-11358.71</v>
      </c>
      <c r="S13" s="76">
        <v>-2254342</v>
      </c>
      <c r="T13" s="56"/>
      <c r="U13" s="82">
        <f t="shared" si="0"/>
        <v>5.0133314148689519E-3</v>
      </c>
      <c r="V13" s="87">
        <f t="shared" si="1"/>
        <v>-11358.71</v>
      </c>
      <c r="W13" s="84">
        <f t="shared" si="2"/>
        <v>-2254342.29</v>
      </c>
      <c r="X13" s="83"/>
      <c r="Y13" s="88">
        <f t="shared" si="3"/>
        <v>-11358.714346666664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529</v>
      </c>
      <c r="H14" s="76">
        <v>1240023229</v>
      </c>
      <c r="I14" s="247" t="s">
        <v>68</v>
      </c>
      <c r="J14" s="249"/>
      <c r="K14" s="78" t="s">
        <v>535</v>
      </c>
      <c r="L14" s="248" t="s">
        <v>502</v>
      </c>
      <c r="M14" s="249"/>
      <c r="N14" s="77" t="s">
        <v>212</v>
      </c>
      <c r="O14" s="76">
        <v>-1812560</v>
      </c>
      <c r="P14" s="76">
        <v>-1812560</v>
      </c>
      <c r="Q14" s="79" t="s">
        <v>531</v>
      </c>
      <c r="R14" s="76">
        <v>-9086.9699999999993</v>
      </c>
      <c r="S14" s="76">
        <v>-1803473</v>
      </c>
      <c r="T14" s="56"/>
      <c r="U14" s="82">
        <f t="shared" si="0"/>
        <v>5.0133347309882148E-3</v>
      </c>
      <c r="V14" s="87">
        <f t="shared" si="1"/>
        <v>-9086.9699999999993</v>
      </c>
      <c r="W14" s="84">
        <f t="shared" si="2"/>
        <v>-1803473.03</v>
      </c>
      <c r="X14" s="83"/>
      <c r="Y14" s="88">
        <f t="shared" si="3"/>
        <v>-9086.9674666666651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529</v>
      </c>
      <c r="H15" s="76">
        <v>1240023229</v>
      </c>
      <c r="I15" s="247" t="s">
        <v>68</v>
      </c>
      <c r="J15" s="249"/>
      <c r="K15" s="78" t="s">
        <v>536</v>
      </c>
      <c r="L15" s="248" t="s">
        <v>502</v>
      </c>
      <c r="M15" s="249"/>
      <c r="N15" s="77" t="s">
        <v>212</v>
      </c>
      <c r="O15" s="76">
        <v>-906280</v>
      </c>
      <c r="P15" s="76">
        <v>-906280</v>
      </c>
      <c r="Q15" s="79" t="s">
        <v>531</v>
      </c>
      <c r="R15" s="76">
        <v>-4543.4799999999996</v>
      </c>
      <c r="S15" s="76">
        <v>-901737</v>
      </c>
      <c r="T15" s="56"/>
      <c r="U15" s="82">
        <f t="shared" si="0"/>
        <v>5.0133292139294692E-3</v>
      </c>
      <c r="V15" s="87">
        <f t="shared" si="1"/>
        <v>-4543.4799999999996</v>
      </c>
      <c r="W15" s="84">
        <f t="shared" si="2"/>
        <v>-901736.52</v>
      </c>
      <c r="X15" s="83"/>
      <c r="Y15" s="88">
        <f t="shared" si="3"/>
        <v>-4543.4837333333326</v>
      </c>
      <c r="Z15" s="83"/>
      <c r="AA15" s="56"/>
    </row>
    <row r="16" spans="3:27" s="49" customFormat="1" ht="12.75" x14ac:dyDescent="0.2">
      <c r="C16" s="245" t="s">
        <v>66</v>
      </c>
      <c r="D16" s="243"/>
      <c r="E16" s="246" t="s">
        <v>67</v>
      </c>
      <c r="F16" s="243"/>
      <c r="G16" s="75" t="s">
        <v>529</v>
      </c>
      <c r="H16" s="76">
        <v>1240023229</v>
      </c>
      <c r="I16" s="247" t="s">
        <v>69</v>
      </c>
      <c r="J16" s="243"/>
      <c r="K16" s="78" t="s">
        <v>537</v>
      </c>
      <c r="L16" s="248" t="s">
        <v>502</v>
      </c>
      <c r="M16" s="243"/>
      <c r="N16" s="77" t="s">
        <v>212</v>
      </c>
      <c r="O16" s="76">
        <v>15293880</v>
      </c>
      <c r="P16" s="76">
        <v>15293880</v>
      </c>
      <c r="Q16" s="79" t="s">
        <v>531</v>
      </c>
      <c r="R16" s="76">
        <v>76673.320000000007</v>
      </c>
      <c r="S16" s="76">
        <v>15217207</v>
      </c>
      <c r="T16" s="56"/>
      <c r="U16" s="82">
        <f t="shared" si="0"/>
        <v>5.0133334379503444E-3</v>
      </c>
      <c r="V16" s="87">
        <f t="shared" si="1"/>
        <v>76673.320000000007</v>
      </c>
      <c r="W16" s="84">
        <f t="shared" si="2"/>
        <v>15217206.68</v>
      </c>
      <c r="X16" s="83"/>
      <c r="Y16" s="88">
        <f t="shared" si="3"/>
        <v>76673.318399999989</v>
      </c>
      <c r="Z16" s="83"/>
      <c r="AA16" s="56"/>
    </row>
    <row r="17" spans="3:27" s="49" customFormat="1" x14ac:dyDescent="0.25">
      <c r="C17" s="245" t="s">
        <v>66</v>
      </c>
      <c r="D17" s="249"/>
      <c r="E17" s="246" t="s">
        <v>67</v>
      </c>
      <c r="F17" s="249"/>
      <c r="G17" s="75" t="s">
        <v>529</v>
      </c>
      <c r="H17" s="76">
        <v>1240023229</v>
      </c>
      <c r="I17" s="247" t="s">
        <v>69</v>
      </c>
      <c r="J17" s="249"/>
      <c r="K17" s="78" t="s">
        <v>538</v>
      </c>
      <c r="L17" s="248" t="s">
        <v>502</v>
      </c>
      <c r="M17" s="249"/>
      <c r="N17" s="77" t="s">
        <v>212</v>
      </c>
      <c r="O17" s="76">
        <v>7363125</v>
      </c>
      <c r="P17" s="76">
        <v>7363125</v>
      </c>
      <c r="Q17" s="79" t="s">
        <v>531</v>
      </c>
      <c r="R17" s="76">
        <v>36913.800000000003</v>
      </c>
      <c r="S17" s="76">
        <v>7326211</v>
      </c>
      <c r="T17" s="56"/>
      <c r="U17" s="82">
        <f t="shared" si="0"/>
        <v>5.0133333333333341E-3</v>
      </c>
      <c r="V17" s="87">
        <f t="shared" si="1"/>
        <v>36913.800000000003</v>
      </c>
      <c r="W17" s="84">
        <f t="shared" si="2"/>
        <v>7326211.2000000002</v>
      </c>
      <c r="X17" s="83"/>
      <c r="Y17" s="88">
        <f t="shared" si="3"/>
        <v>36913.799999999996</v>
      </c>
      <c r="Z17" s="83"/>
      <c r="AA17" s="56"/>
    </row>
    <row r="18" spans="3:27" s="49" customFormat="1" x14ac:dyDescent="0.25">
      <c r="C18" s="245" t="s">
        <v>66</v>
      </c>
      <c r="D18" s="249"/>
      <c r="E18" s="246" t="s">
        <v>67</v>
      </c>
      <c r="F18" s="249"/>
      <c r="G18" s="75" t="s">
        <v>529</v>
      </c>
      <c r="H18" s="76">
        <v>1240023230</v>
      </c>
      <c r="I18" s="247" t="s">
        <v>69</v>
      </c>
      <c r="J18" s="249"/>
      <c r="K18" s="78" t="s">
        <v>539</v>
      </c>
      <c r="L18" s="248" t="s">
        <v>540</v>
      </c>
      <c r="M18" s="249"/>
      <c r="N18" s="77" t="s">
        <v>198</v>
      </c>
      <c r="O18" s="76">
        <v>15293880</v>
      </c>
      <c r="P18" s="76">
        <v>15293880</v>
      </c>
      <c r="Q18" s="79" t="s">
        <v>531</v>
      </c>
      <c r="R18" s="76">
        <v>110217.9</v>
      </c>
      <c r="S18" s="76">
        <v>15183662</v>
      </c>
      <c r="T18" s="56"/>
      <c r="U18" s="82">
        <f t="shared" si="0"/>
        <v>7.206666980517697E-3</v>
      </c>
      <c r="V18" s="87">
        <f t="shared" si="1"/>
        <v>110217.9</v>
      </c>
      <c r="W18" s="84">
        <f t="shared" si="2"/>
        <v>15183662.1</v>
      </c>
      <c r="X18" s="83"/>
      <c r="Y18" s="88">
        <f t="shared" si="3"/>
        <v>110217.89519999998</v>
      </c>
      <c r="Z18" s="83"/>
      <c r="AA18" s="56"/>
    </row>
    <row r="19" spans="3:27" s="49" customFormat="1" x14ac:dyDescent="0.25">
      <c r="C19" s="245" t="s">
        <v>66</v>
      </c>
      <c r="D19" s="249"/>
      <c r="E19" s="246" t="s">
        <v>67</v>
      </c>
      <c r="F19" s="249"/>
      <c r="G19" s="75" t="s">
        <v>529</v>
      </c>
      <c r="H19" s="76">
        <v>1240023230</v>
      </c>
      <c r="I19" s="247" t="s">
        <v>69</v>
      </c>
      <c r="J19" s="249"/>
      <c r="K19" s="78" t="s">
        <v>541</v>
      </c>
      <c r="L19" s="248" t="s">
        <v>540</v>
      </c>
      <c r="M19" s="249"/>
      <c r="N19" s="77" t="s">
        <v>198</v>
      </c>
      <c r="O19" s="76">
        <v>7363125</v>
      </c>
      <c r="P19" s="76">
        <v>7363125</v>
      </c>
      <c r="Q19" s="79" t="s">
        <v>531</v>
      </c>
      <c r="R19" s="76">
        <v>53063.59</v>
      </c>
      <c r="S19" s="76">
        <v>7310061</v>
      </c>
      <c r="T19" s="56"/>
      <c r="U19" s="82">
        <f t="shared" si="0"/>
        <v>7.2066670061964174E-3</v>
      </c>
      <c r="V19" s="87">
        <f t="shared" si="1"/>
        <v>53063.59</v>
      </c>
      <c r="W19" s="84">
        <f t="shared" si="2"/>
        <v>7310061.4100000001</v>
      </c>
      <c r="X19" s="83"/>
      <c r="Y19" s="88">
        <f t="shared" si="3"/>
        <v>53063.587499999994</v>
      </c>
      <c r="Z19" s="83"/>
      <c r="AA19" s="56"/>
    </row>
    <row r="20" spans="3:27" s="49" customFormat="1" hidden="1" x14ac:dyDescent="0.25">
      <c r="C20" s="245"/>
      <c r="D20" s="249"/>
      <c r="E20" s="246"/>
      <c r="F20" s="249"/>
      <c r="G20" s="75"/>
      <c r="H20" s="76"/>
      <c r="I20" s="247"/>
      <c r="J20" s="249"/>
      <c r="K20" s="78"/>
      <c r="L20" s="248"/>
      <c r="M20" s="249"/>
      <c r="N20" s="77"/>
      <c r="O20" s="76"/>
      <c r="P20" s="76"/>
      <c r="Q20" s="79"/>
      <c r="R20" s="76"/>
      <c r="S20" s="76"/>
      <c r="T20" s="56"/>
      <c r="U20" s="82"/>
      <c r="V20" s="87"/>
      <c r="W20" s="84"/>
      <c r="X20" s="83"/>
      <c r="Y20" s="88">
        <f t="shared" si="3"/>
        <v>0</v>
      </c>
      <c r="Z20" s="83"/>
      <c r="AA20" s="56"/>
    </row>
    <row r="21" spans="3:27" s="49" customFormat="1" hidden="1" x14ac:dyDescent="0.25">
      <c r="C21" s="245"/>
      <c r="D21" s="249"/>
      <c r="E21" s="246"/>
      <c r="F21" s="249"/>
      <c r="G21" s="75"/>
      <c r="H21" s="76"/>
      <c r="I21" s="247"/>
      <c r="J21" s="249"/>
      <c r="K21" s="78"/>
      <c r="L21" s="248"/>
      <c r="M21" s="249"/>
      <c r="N21" s="77"/>
      <c r="O21" s="76"/>
      <c r="P21" s="76"/>
      <c r="Q21" s="79"/>
      <c r="R21" s="76"/>
      <c r="S21" s="76"/>
      <c r="T21" s="56"/>
      <c r="U21" s="82"/>
      <c r="V21" s="87"/>
      <c r="W21" s="84"/>
      <c r="X21" s="83"/>
      <c r="Y21" s="88">
        <f t="shared" si="3"/>
        <v>0</v>
      </c>
      <c r="Z21" s="83"/>
      <c r="AA21" s="56"/>
    </row>
    <row r="22" spans="3:27" s="49" customFormat="1" hidden="1" x14ac:dyDescent="0.25">
      <c r="C22" s="245"/>
      <c r="D22" s="249"/>
      <c r="E22" s="246"/>
      <c r="F22" s="249"/>
      <c r="G22" s="75"/>
      <c r="H22" s="76"/>
      <c r="I22" s="247"/>
      <c r="J22" s="249"/>
      <c r="K22" s="78"/>
      <c r="L22" s="248"/>
      <c r="M22" s="249"/>
      <c r="N22" s="77"/>
      <c r="O22" s="76"/>
      <c r="P22" s="76"/>
      <c r="Q22" s="79"/>
      <c r="R22" s="76"/>
      <c r="S22" s="76"/>
      <c r="T22" s="56"/>
      <c r="U22" s="82"/>
      <c r="V22" s="87"/>
      <c r="W22" s="84"/>
      <c r="X22" s="83"/>
      <c r="Y22" s="88">
        <f t="shared" si="3"/>
        <v>0</v>
      </c>
      <c r="Z22" s="83"/>
      <c r="AA22" s="56"/>
    </row>
    <row r="23" spans="3:27" s="49" customFormat="1" hidden="1" x14ac:dyDescent="0.25">
      <c r="C23" s="245"/>
      <c r="D23" s="249"/>
      <c r="E23" s="246"/>
      <c r="F23" s="249"/>
      <c r="G23" s="75"/>
      <c r="H23" s="76"/>
      <c r="I23" s="247"/>
      <c r="J23" s="249"/>
      <c r="K23" s="78"/>
      <c r="L23" s="248"/>
      <c r="M23" s="249"/>
      <c r="N23" s="77"/>
      <c r="O23" s="76"/>
      <c r="P23" s="76"/>
      <c r="Q23" s="79"/>
      <c r="R23" s="76"/>
      <c r="S23" s="76"/>
      <c r="T23" s="56"/>
      <c r="U23" s="82"/>
      <c r="V23" s="87"/>
      <c r="W23" s="84"/>
      <c r="X23" s="83"/>
      <c r="Y23" s="88">
        <f t="shared" si="3"/>
        <v>0</v>
      </c>
      <c r="Z23" s="83"/>
      <c r="AA23" s="56"/>
    </row>
    <row r="24" spans="3:27" s="49" customFormat="1" hidden="1" x14ac:dyDescent="0.25">
      <c r="C24" s="245"/>
      <c r="D24" s="249"/>
      <c r="E24" s="246"/>
      <c r="F24" s="249"/>
      <c r="G24" s="75"/>
      <c r="H24" s="76"/>
      <c r="I24" s="247"/>
      <c r="J24" s="249"/>
      <c r="K24" s="78"/>
      <c r="L24" s="248"/>
      <c r="M24" s="249"/>
      <c r="N24" s="77"/>
      <c r="O24" s="76"/>
      <c r="P24" s="76"/>
      <c r="Q24" s="79"/>
      <c r="R24" s="76"/>
      <c r="S24" s="76"/>
      <c r="T24" s="56"/>
      <c r="U24" s="82"/>
      <c r="V24" s="87"/>
      <c r="W24" s="84"/>
      <c r="X24" s="83"/>
      <c r="Y24" s="88">
        <f t="shared" si="3"/>
        <v>0</v>
      </c>
      <c r="Z24" s="83"/>
      <c r="AA24" s="56"/>
    </row>
    <row r="25" spans="3:27" s="49" customFormat="1" hidden="1" x14ac:dyDescent="0.25">
      <c r="C25" s="245"/>
      <c r="D25" s="249"/>
      <c r="E25" s="246"/>
      <c r="F25" s="249"/>
      <c r="G25" s="75"/>
      <c r="H25" s="76"/>
      <c r="I25" s="247"/>
      <c r="J25" s="249"/>
      <c r="K25" s="78"/>
      <c r="L25" s="248"/>
      <c r="M25" s="249"/>
      <c r="N25" s="77"/>
      <c r="O25" s="76"/>
      <c r="P25" s="76"/>
      <c r="Q25" s="79"/>
      <c r="R25" s="76"/>
      <c r="S25" s="76"/>
      <c r="T25" s="56"/>
      <c r="U25" s="82"/>
      <c r="V25" s="87"/>
      <c r="W25" s="84"/>
      <c r="X25" s="83"/>
      <c r="Y25" s="88">
        <f t="shared" si="3"/>
        <v>0</v>
      </c>
      <c r="Z25" s="83"/>
      <c r="AA25" s="56"/>
    </row>
    <row r="26" spans="3:27" s="49" customFormat="1" hidden="1" x14ac:dyDescent="0.25">
      <c r="C26" s="245"/>
      <c r="D26" s="249"/>
      <c r="E26" s="246"/>
      <c r="F26" s="249"/>
      <c r="G26" s="75"/>
      <c r="H26" s="76"/>
      <c r="I26" s="247"/>
      <c r="J26" s="249"/>
      <c r="K26" s="78"/>
      <c r="L26" s="248"/>
      <c r="M26" s="249"/>
      <c r="N26" s="77"/>
      <c r="O26" s="76"/>
      <c r="P26" s="76"/>
      <c r="Q26" s="79"/>
      <c r="R26" s="76"/>
      <c r="S26" s="76"/>
      <c r="T26" s="56"/>
      <c r="U26" s="82"/>
      <c r="V26" s="87"/>
      <c r="W26" s="84"/>
      <c r="X26" s="83"/>
      <c r="Y26" s="88">
        <f t="shared" si="3"/>
        <v>0</v>
      </c>
      <c r="Z26" s="83"/>
      <c r="AA26" s="56"/>
    </row>
    <row r="27" spans="3:27" s="49" customFormat="1" hidden="1" x14ac:dyDescent="0.25">
      <c r="C27" s="245"/>
      <c r="D27" s="249"/>
      <c r="E27" s="246"/>
      <c r="F27" s="249"/>
      <c r="G27" s="75"/>
      <c r="H27" s="76"/>
      <c r="I27" s="247"/>
      <c r="J27" s="249"/>
      <c r="K27" s="78"/>
      <c r="L27" s="248"/>
      <c r="M27" s="249"/>
      <c r="N27" s="77"/>
      <c r="O27" s="76"/>
      <c r="P27" s="76"/>
      <c r="Q27" s="79"/>
      <c r="R27" s="76"/>
      <c r="S27" s="76"/>
      <c r="T27" s="56"/>
      <c r="U27" s="82"/>
      <c r="V27" s="87"/>
      <c r="W27" s="84"/>
      <c r="X27" s="83"/>
      <c r="Y27" s="88">
        <f t="shared" si="3"/>
        <v>0</v>
      </c>
      <c r="Z27" s="83"/>
      <c r="AA27" s="56"/>
    </row>
    <row r="28" spans="3:27" s="49" customFormat="1" hidden="1" x14ac:dyDescent="0.25">
      <c r="C28" s="245"/>
      <c r="D28" s="249"/>
      <c r="E28" s="246"/>
      <c r="F28" s="249"/>
      <c r="G28" s="75"/>
      <c r="H28" s="76"/>
      <c r="I28" s="247"/>
      <c r="J28" s="249"/>
      <c r="K28" s="78"/>
      <c r="L28" s="248"/>
      <c r="M28" s="249"/>
      <c r="N28" s="77"/>
      <c r="O28" s="76"/>
      <c r="P28" s="76"/>
      <c r="Q28" s="79"/>
      <c r="R28" s="76"/>
      <c r="S28" s="76"/>
      <c r="T28" s="56"/>
      <c r="U28" s="82"/>
      <c r="V28" s="87"/>
      <c r="W28" s="84"/>
      <c r="X28" s="83"/>
      <c r="Y28" s="88">
        <f t="shared" si="3"/>
        <v>0</v>
      </c>
      <c r="Z28" s="83"/>
      <c r="AA28" s="56"/>
    </row>
    <row r="29" spans="3:27" s="49" customFormat="1" hidden="1" x14ac:dyDescent="0.25">
      <c r="C29" s="245"/>
      <c r="D29" s="249"/>
      <c r="E29" s="246"/>
      <c r="F29" s="249"/>
      <c r="G29" s="75"/>
      <c r="H29" s="76"/>
      <c r="I29" s="247"/>
      <c r="J29" s="249"/>
      <c r="K29" s="78"/>
      <c r="L29" s="248"/>
      <c r="M29" s="249"/>
      <c r="N29" s="77"/>
      <c r="O29" s="76"/>
      <c r="P29" s="76"/>
      <c r="Q29" s="79"/>
      <c r="R29" s="76"/>
      <c r="S29" s="76"/>
      <c r="T29" s="56"/>
      <c r="U29" s="82"/>
      <c r="V29" s="87"/>
      <c r="W29" s="84"/>
      <c r="X29" s="83"/>
      <c r="Y29" s="88">
        <f t="shared" si="3"/>
        <v>0</v>
      </c>
      <c r="Z29" s="83"/>
      <c r="AA29" s="56"/>
    </row>
    <row r="30" spans="3:27" s="49" customFormat="1" hidden="1" x14ac:dyDescent="0.25">
      <c r="C30" s="245"/>
      <c r="D30" s="249"/>
      <c r="E30" s="246"/>
      <c r="F30" s="249"/>
      <c r="G30" s="75"/>
      <c r="H30" s="76"/>
      <c r="I30" s="247"/>
      <c r="J30" s="249"/>
      <c r="K30" s="78"/>
      <c r="L30" s="248"/>
      <c r="M30" s="249"/>
      <c r="N30" s="77"/>
      <c r="O30" s="76"/>
      <c r="P30" s="76"/>
      <c r="Q30" s="79"/>
      <c r="R30" s="76"/>
      <c r="S30" s="76"/>
      <c r="T30" s="56"/>
      <c r="U30" s="82"/>
      <c r="V30" s="87"/>
      <c r="W30" s="84"/>
      <c r="X30" s="83"/>
      <c r="Y30" s="88">
        <f t="shared" si="3"/>
        <v>0</v>
      </c>
      <c r="Z30" s="83"/>
      <c r="AA30" s="56"/>
    </row>
    <row r="31" spans="3:27" s="49" customFormat="1" hidden="1" x14ac:dyDescent="0.25">
      <c r="C31" s="245"/>
      <c r="D31" s="249"/>
      <c r="E31" s="246"/>
      <c r="F31" s="249"/>
      <c r="G31" s="75"/>
      <c r="H31" s="76"/>
      <c r="I31" s="247"/>
      <c r="J31" s="249"/>
      <c r="K31" s="78"/>
      <c r="L31" s="248"/>
      <c r="M31" s="249"/>
      <c r="N31" s="77"/>
      <c r="O31" s="76"/>
      <c r="P31" s="76"/>
      <c r="Q31" s="79"/>
      <c r="R31" s="76"/>
      <c r="S31" s="76"/>
      <c r="T31" s="56"/>
      <c r="U31" s="82"/>
      <c r="V31" s="87"/>
      <c r="W31" s="84"/>
      <c r="X31" s="83"/>
      <c r="Y31" s="88">
        <f t="shared" si="3"/>
        <v>0</v>
      </c>
      <c r="Z31" s="83"/>
      <c r="AA31" s="56"/>
    </row>
    <row r="32" spans="3:27" s="49" customFormat="1" ht="12.75" hidden="1" x14ac:dyDescent="0.2">
      <c r="C32" s="245"/>
      <c r="D32" s="243"/>
      <c r="E32" s="246"/>
      <c r="F32" s="243"/>
      <c r="G32" s="75"/>
      <c r="H32" s="76"/>
      <c r="I32" s="247"/>
      <c r="J32" s="243"/>
      <c r="K32" s="78"/>
      <c r="L32" s="248"/>
      <c r="M32" s="243"/>
      <c r="N32" s="77"/>
      <c r="O32" s="76"/>
      <c r="P32" s="76"/>
      <c r="Q32" s="79"/>
      <c r="R32" s="76"/>
      <c r="S32" s="76"/>
      <c r="T32" s="56"/>
      <c r="U32" s="82"/>
      <c r="V32" s="87"/>
      <c r="W32" s="84"/>
      <c r="X32" s="83"/>
      <c r="Y32" s="88">
        <f t="shared" si="3"/>
        <v>0</v>
      </c>
      <c r="Z32" s="83"/>
      <c r="AA32" s="56"/>
    </row>
    <row r="33" spans="3:30" s="49" customFormat="1" hidden="1" x14ac:dyDescent="0.25">
      <c r="C33" s="245"/>
      <c r="D33" s="249"/>
      <c r="E33" s="246"/>
      <c r="F33" s="249"/>
      <c r="G33" s="75"/>
      <c r="H33" s="76"/>
      <c r="I33" s="247"/>
      <c r="J33" s="249"/>
      <c r="K33" s="78"/>
      <c r="L33" s="248"/>
      <c r="M33" s="249"/>
      <c r="N33" s="77"/>
      <c r="O33" s="76"/>
      <c r="P33" s="76"/>
      <c r="Q33" s="79"/>
      <c r="R33" s="76"/>
      <c r="S33" s="76"/>
      <c r="T33" s="56"/>
      <c r="U33" s="82"/>
      <c r="V33" s="87"/>
      <c r="W33" s="84"/>
      <c r="X33" s="83"/>
      <c r="Y33" s="88">
        <f t="shared" si="3"/>
        <v>0</v>
      </c>
      <c r="Z33" s="83"/>
      <c r="AA33" s="56"/>
    </row>
    <row r="34" spans="3:30" s="49" customFormat="1" hidden="1" x14ac:dyDescent="0.25">
      <c r="C34" s="245"/>
      <c r="D34" s="249"/>
      <c r="E34" s="246"/>
      <c r="F34" s="249"/>
      <c r="G34" s="75"/>
      <c r="H34" s="76"/>
      <c r="I34" s="247"/>
      <c r="J34" s="249"/>
      <c r="K34" s="78"/>
      <c r="L34" s="248"/>
      <c r="M34" s="249"/>
      <c r="N34" s="77"/>
      <c r="O34" s="76"/>
      <c r="P34" s="76"/>
      <c r="Q34" s="79"/>
      <c r="R34" s="76"/>
      <c r="S34" s="76"/>
      <c r="T34" s="56"/>
      <c r="U34" s="82"/>
      <c r="V34" s="87"/>
      <c r="W34" s="84"/>
      <c r="X34" s="83"/>
      <c r="Y34" s="88">
        <f t="shared" si="3"/>
        <v>0</v>
      </c>
      <c r="Z34" s="83"/>
      <c r="AA34" s="56"/>
    </row>
    <row r="35" spans="3:30" s="49" customFormat="1" hidden="1" x14ac:dyDescent="0.25">
      <c r="C35" s="245"/>
      <c r="D35" s="249"/>
      <c r="E35" s="246"/>
      <c r="F35" s="249"/>
      <c r="G35" s="75"/>
      <c r="H35" s="76"/>
      <c r="I35" s="247"/>
      <c r="J35" s="249"/>
      <c r="K35" s="78"/>
      <c r="L35" s="248"/>
      <c r="M35" s="249"/>
      <c r="N35" s="77"/>
      <c r="O35" s="76"/>
      <c r="P35" s="76"/>
      <c r="Q35" s="79"/>
      <c r="R35" s="76"/>
      <c r="S35" s="76"/>
      <c r="T35" s="56"/>
      <c r="U35" s="82"/>
      <c r="V35" s="87"/>
      <c r="W35" s="84"/>
      <c r="X35" s="83"/>
      <c r="Y35" s="88">
        <f t="shared" si="3"/>
        <v>0</v>
      </c>
      <c r="Z35" s="83"/>
      <c r="AA35" s="56"/>
    </row>
    <row r="36" spans="3:30" s="49" customFormat="1" hidden="1" x14ac:dyDescent="0.25">
      <c r="C36" s="245"/>
      <c r="D36" s="249"/>
      <c r="E36" s="246"/>
      <c r="F36" s="249"/>
      <c r="G36" s="75"/>
      <c r="H36" s="76"/>
      <c r="I36" s="247"/>
      <c r="J36" s="249"/>
      <c r="K36" s="78"/>
      <c r="L36" s="248"/>
      <c r="M36" s="249"/>
      <c r="N36" s="77"/>
      <c r="O36" s="76"/>
      <c r="P36" s="76"/>
      <c r="Q36" s="79"/>
      <c r="R36" s="76"/>
      <c r="S36" s="76"/>
      <c r="T36" s="56"/>
      <c r="U36" s="82"/>
      <c r="V36" s="87"/>
      <c r="W36" s="84"/>
      <c r="X36" s="83"/>
      <c r="Y36" s="88">
        <f t="shared" si="3"/>
        <v>0</v>
      </c>
      <c r="Z36" s="83"/>
      <c r="AA36" s="56"/>
    </row>
    <row r="37" spans="3:30" s="49" customFormat="1" hidden="1" x14ac:dyDescent="0.25">
      <c r="C37" s="245"/>
      <c r="D37" s="249"/>
      <c r="E37" s="246"/>
      <c r="F37" s="249"/>
      <c r="G37" s="75"/>
      <c r="H37" s="76"/>
      <c r="I37" s="247"/>
      <c r="J37" s="249"/>
      <c r="K37" s="78"/>
      <c r="L37" s="248"/>
      <c r="M37" s="249"/>
      <c r="N37" s="77"/>
      <c r="O37" s="76"/>
      <c r="P37" s="76"/>
      <c r="Q37" s="79"/>
      <c r="R37" s="76"/>
      <c r="S37" s="76"/>
      <c r="T37" s="56"/>
      <c r="U37" s="82"/>
      <c r="V37" s="87"/>
      <c r="W37" s="84"/>
      <c r="X37" s="83"/>
      <c r="Y37" s="88">
        <f t="shared" si="3"/>
        <v>0</v>
      </c>
      <c r="Z37" s="83"/>
      <c r="AA37" s="56"/>
    </row>
    <row r="38" spans="3:30" s="49" customFormat="1" hidden="1" x14ac:dyDescent="0.25">
      <c r="C38" s="245"/>
      <c r="D38" s="249"/>
      <c r="E38" s="246"/>
      <c r="F38" s="249"/>
      <c r="G38" s="75"/>
      <c r="H38" s="76"/>
      <c r="I38" s="247"/>
      <c r="J38" s="249"/>
      <c r="K38" s="78"/>
      <c r="L38" s="248"/>
      <c r="M38" s="249"/>
      <c r="N38" s="77"/>
      <c r="O38" s="76"/>
      <c r="P38" s="76"/>
      <c r="Q38" s="79"/>
      <c r="R38" s="76"/>
      <c r="S38" s="76"/>
      <c r="T38" s="56"/>
      <c r="U38" s="82"/>
      <c r="V38" s="87"/>
      <c r="W38" s="84"/>
      <c r="X38" s="83"/>
      <c r="Y38" s="88">
        <f t="shared" si="3"/>
        <v>0</v>
      </c>
      <c r="Z38" s="83"/>
      <c r="AA38" s="56"/>
    </row>
    <row r="39" spans="3:30" s="49" customFormat="1" hidden="1" x14ac:dyDescent="0.25">
      <c r="C39" s="245"/>
      <c r="D39" s="249"/>
      <c r="E39" s="246"/>
      <c r="F39" s="249"/>
      <c r="G39" s="75"/>
      <c r="H39" s="76"/>
      <c r="I39" s="247"/>
      <c r="J39" s="249"/>
      <c r="K39" s="78"/>
      <c r="L39" s="248"/>
      <c r="M39" s="249"/>
      <c r="N39" s="77"/>
      <c r="O39" s="76"/>
      <c r="P39" s="76"/>
      <c r="Q39" s="79"/>
      <c r="R39" s="76"/>
      <c r="S39" s="76"/>
      <c r="T39" s="56"/>
      <c r="U39" s="82"/>
      <c r="V39" s="87"/>
      <c r="W39" s="84"/>
      <c r="X39" s="83"/>
      <c r="Y39" s="88">
        <f t="shared" si="3"/>
        <v>0</v>
      </c>
      <c r="Z39" s="83"/>
      <c r="AA39" s="56"/>
    </row>
    <row r="40" spans="3:30" s="49" customFormat="1" hidden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ref="Y41:Y44" si="4">+Q41%*(N41/30)*P41</f>
        <v>0</v>
      </c>
      <c r="Z41" s="83"/>
      <c r="AA41" s="56"/>
    </row>
    <row r="42" spans="3:30" s="49" customFormat="1" ht="12.75" x14ac:dyDescent="0.2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4"/>
        <v>0</v>
      </c>
      <c r="Z42" s="83"/>
      <c r="AA42" s="56"/>
      <c r="AB42" s="56"/>
    </row>
    <row r="43" spans="3:30" s="49" customFormat="1" ht="12.75" x14ac:dyDescent="0.2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35344928</v>
      </c>
      <c r="P43" s="76">
        <v>35344928</v>
      </c>
      <c r="Q43" s="80"/>
      <c r="R43" s="76">
        <v>226890</v>
      </c>
      <c r="S43" s="76">
        <v>35118038</v>
      </c>
      <c r="T43" s="56"/>
      <c r="U43" s="82"/>
      <c r="V43" s="83"/>
      <c r="W43" s="84"/>
      <c r="X43" s="83"/>
      <c r="Y43" s="88">
        <f t="shared" si="4"/>
        <v>0</v>
      </c>
      <c r="Z43" s="83"/>
      <c r="AA43" s="56"/>
      <c r="AB43" s="56"/>
    </row>
    <row r="44" spans="3:30" s="49" customFormat="1" ht="12.7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4"/>
        <v>0</v>
      </c>
      <c r="Z44" s="83"/>
      <c r="AA44" s="56"/>
      <c r="AB44" s="56"/>
    </row>
    <row r="45" spans="3:30" s="49" customFormat="1" ht="12.7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2.75" x14ac:dyDescent="0.2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35344928</v>
      </c>
      <c r="P46" s="76">
        <f>+SUM(P10:P40)</f>
        <v>35344928</v>
      </c>
      <c r="Q46" s="80"/>
      <c r="R46" s="76">
        <f>+SUM(R10:R40)</f>
        <v>226890.29</v>
      </c>
      <c r="S46" s="76">
        <f>+SUM(S10:S40)</f>
        <v>35118037</v>
      </c>
      <c r="U46" s="82"/>
      <c r="V46" s="91">
        <f>SUM(V10:V41)</f>
        <v>226890.29</v>
      </c>
      <c r="W46" s="91">
        <f>SUM(W10:W42)</f>
        <v>35118037.709999993</v>
      </c>
      <c r="X46" s="56"/>
      <c r="Y46" s="91">
        <f>SUM(Y10:Y41)</f>
        <v>226890.27000666663</v>
      </c>
      <c r="Z46" s="91">
        <f>$AA$7*$AA$8*1.19</f>
        <v>70177.593920000014</v>
      </c>
      <c r="AA46" s="91">
        <f>+Y46+Z46</f>
        <v>297067.86392666667</v>
      </c>
      <c r="AB46" s="92">
        <f>+W46-Z46</f>
        <v>35047860.116079994</v>
      </c>
      <c r="AD46" s="56" t="s">
        <v>542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  <mergeCell ref="C37:D37"/>
    <mergeCell ref="E37:F37"/>
    <mergeCell ref="I37:J37"/>
    <mergeCell ref="L37:M37"/>
    <mergeCell ref="C38:D38"/>
    <mergeCell ref="E38:F38"/>
    <mergeCell ref="I38:J38"/>
    <mergeCell ref="L38:M38"/>
    <mergeCell ref="C35:D35"/>
    <mergeCell ref="E35:F35"/>
    <mergeCell ref="I35:J35"/>
    <mergeCell ref="L35:M35"/>
    <mergeCell ref="C36:D36"/>
    <mergeCell ref="E36:F36"/>
    <mergeCell ref="I36:J36"/>
    <mergeCell ref="L36:M36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C20:D20"/>
    <mergeCell ref="E20:F20"/>
    <mergeCell ref="I20:J20"/>
    <mergeCell ref="L20:M20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F2:M2"/>
    <mergeCell ref="C9:D9"/>
    <mergeCell ref="E9:F9"/>
    <mergeCell ref="I9:J9"/>
    <mergeCell ref="L9:M9"/>
    <mergeCell ref="C10:D10"/>
    <mergeCell ref="E10:F10"/>
    <mergeCell ref="I10:J10"/>
    <mergeCell ref="L10:M1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F20-2E41-41F2-86DA-72B588297E15}">
  <dimension ref="A1:M14"/>
  <sheetViews>
    <sheetView workbookViewId="0">
      <selection activeCell="K15" sqref="K15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518</v>
      </c>
      <c r="F2" s="120" t="s">
        <v>519</v>
      </c>
      <c r="G2" s="120" t="s">
        <v>507</v>
      </c>
      <c r="H2" s="120" t="s">
        <v>508</v>
      </c>
      <c r="I2" s="200">
        <v>2265701</v>
      </c>
      <c r="J2" s="120" t="s">
        <v>83</v>
      </c>
      <c r="K2" s="120" t="s">
        <v>84</v>
      </c>
      <c r="L2" s="120" t="s">
        <v>520</v>
      </c>
      <c r="M2" s="124">
        <f t="shared" ref="M2:M4" si="0">+I2/1.19</f>
        <v>1903950.4201680673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524</v>
      </c>
      <c r="F3" s="120" t="s">
        <v>525</v>
      </c>
      <c r="G3" s="120" t="s">
        <v>507</v>
      </c>
      <c r="H3" s="120" t="s">
        <v>508</v>
      </c>
      <c r="I3" s="200">
        <v>906280</v>
      </c>
      <c r="J3" s="120" t="s">
        <v>83</v>
      </c>
      <c r="K3" s="120" t="s">
        <v>84</v>
      </c>
      <c r="L3" s="120" t="s">
        <v>526</v>
      </c>
      <c r="M3" s="124">
        <f t="shared" si="0"/>
        <v>761579.83193277312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521</v>
      </c>
      <c r="F4" s="120" t="s">
        <v>522</v>
      </c>
      <c r="G4" s="120" t="s">
        <v>507</v>
      </c>
      <c r="H4" s="120" t="s">
        <v>508</v>
      </c>
      <c r="I4" s="200">
        <v>1812560</v>
      </c>
      <c r="J4" s="120" t="s">
        <v>83</v>
      </c>
      <c r="K4" s="120" t="s">
        <v>84</v>
      </c>
      <c r="L4" s="120" t="s">
        <v>523</v>
      </c>
      <c r="M4" s="124">
        <f t="shared" si="0"/>
        <v>1523159.6638655462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504</v>
      </c>
      <c r="D7" s="93"/>
      <c r="E7" s="125"/>
      <c r="F7" s="93"/>
      <c r="G7" s="93"/>
      <c r="H7" s="93"/>
    </row>
    <row r="8" spans="1:13" x14ac:dyDescent="0.25">
      <c r="C8" s="125" t="s">
        <v>527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20145393</v>
      </c>
      <c r="E10" s="176" t="s">
        <v>528</v>
      </c>
      <c r="F10" s="129">
        <f>+M2</f>
        <v>1903950.4201680673</v>
      </c>
      <c r="G10" s="129">
        <f>+'CTA CORRIENTE'!H205+'CTA CORRIENTE'!H209</f>
        <v>1903950</v>
      </c>
      <c r="H10" s="130">
        <f>+G10-F10</f>
        <v>-0.42016806732863188</v>
      </c>
    </row>
    <row r="11" spans="1:13" x14ac:dyDescent="0.25">
      <c r="C11" s="121">
        <v>0.08</v>
      </c>
      <c r="D11" s="127">
        <v>20144795</v>
      </c>
      <c r="E11" s="176" t="s">
        <v>528</v>
      </c>
      <c r="F11" s="129">
        <f>+M4</f>
        <v>1523159.6638655462</v>
      </c>
      <c r="G11" s="129">
        <f>+'CTA CORRIENTE'!H206+'CTA CORRIENTE'!H210</f>
        <v>1523160</v>
      </c>
      <c r="H11" s="130">
        <f>+G11-F11</f>
        <v>0.33613445376977324</v>
      </c>
    </row>
    <row r="12" spans="1:13" x14ac:dyDescent="0.25">
      <c r="C12" s="121">
        <v>0.04</v>
      </c>
      <c r="D12" s="127">
        <v>20144373</v>
      </c>
      <c r="E12" s="176" t="s">
        <v>528</v>
      </c>
      <c r="F12" s="129">
        <f>+M3</f>
        <v>761579.83193277312</v>
      </c>
      <c r="G12" s="129">
        <f>+'CTA CORRIENTE'!H207+'CTA CORRIENTE'!H211</f>
        <v>761580</v>
      </c>
      <c r="H12" s="130">
        <f t="shared" ref="H12" si="1">+G12-F12</f>
        <v>0.16806722688488662</v>
      </c>
    </row>
    <row r="13" spans="1:13" x14ac:dyDescent="0.25">
      <c r="C13" s="133" t="s">
        <v>91</v>
      </c>
      <c r="D13" s="133"/>
      <c r="E13" s="133"/>
      <c r="F13" s="134">
        <f>+SUM(F10:F12)</f>
        <v>4188689.9159663869</v>
      </c>
      <c r="G13" s="134">
        <f>+SUM(G10:G12)</f>
        <v>4188690</v>
      </c>
      <c r="H13" s="134">
        <f>+SUM(H10:H12)</f>
        <v>8.4033613326027989E-2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-8.4033613093197346E-2</v>
      </c>
      <c r="H14" s="1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AC96-8CAC-47B4-BC8B-D851050D9228}">
  <dimension ref="A1:M14"/>
  <sheetViews>
    <sheetView workbookViewId="0">
      <selection activeCell="I9" sqref="I9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505</v>
      </c>
      <c r="F2" s="120" t="s">
        <v>506</v>
      </c>
      <c r="G2" s="120" t="s">
        <v>507</v>
      </c>
      <c r="H2" s="120" t="s">
        <v>508</v>
      </c>
      <c r="I2" s="200">
        <v>2265701</v>
      </c>
      <c r="J2" s="120" t="s">
        <v>83</v>
      </c>
      <c r="K2" s="120" t="s">
        <v>84</v>
      </c>
      <c r="L2" s="120" t="s">
        <v>509</v>
      </c>
      <c r="M2" s="124">
        <f>I2/1.19</f>
        <v>1903950.4201680673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515</v>
      </c>
      <c r="F3" s="120" t="s">
        <v>514</v>
      </c>
      <c r="G3" s="120" t="s">
        <v>507</v>
      </c>
      <c r="H3" s="120" t="s">
        <v>508</v>
      </c>
      <c r="I3" s="200">
        <v>906280</v>
      </c>
      <c r="J3" s="120" t="s">
        <v>83</v>
      </c>
      <c r="K3" s="120" t="s">
        <v>84</v>
      </c>
      <c r="L3" s="120" t="s">
        <v>513</v>
      </c>
      <c r="M3" s="124">
        <f>I3/1.19</f>
        <v>761579.83193277312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512</v>
      </c>
      <c r="F4" s="120" t="s">
        <v>511</v>
      </c>
      <c r="G4" s="120" t="s">
        <v>507</v>
      </c>
      <c r="H4" s="120" t="s">
        <v>508</v>
      </c>
      <c r="I4" s="200">
        <v>1812560</v>
      </c>
      <c r="J4" s="120" t="s">
        <v>83</v>
      </c>
      <c r="K4" s="120" t="s">
        <v>84</v>
      </c>
      <c r="L4" s="120" t="s">
        <v>510</v>
      </c>
      <c r="M4" s="124">
        <f t="shared" ref="M4" si="0">I4/1.19</f>
        <v>1523159.6638655462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504</v>
      </c>
      <c r="D7" s="93"/>
      <c r="E7" s="125"/>
      <c r="F7" s="93"/>
      <c r="G7" s="93"/>
      <c r="H7" s="93"/>
    </row>
    <row r="8" spans="1:13" x14ac:dyDescent="0.25">
      <c r="C8" s="125" t="s">
        <v>516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20144020</v>
      </c>
      <c r="E10" s="176" t="s">
        <v>517</v>
      </c>
      <c r="F10" s="129">
        <f>+M2</f>
        <v>1903950.4201680673</v>
      </c>
      <c r="G10" s="129">
        <f>+'CTA CORRIENTE'!H197+'CTA CORRIENTE'!H201</f>
        <v>1903950</v>
      </c>
      <c r="H10" s="130">
        <f>+G10-F10</f>
        <v>-0.42016806732863188</v>
      </c>
    </row>
    <row r="11" spans="1:13" x14ac:dyDescent="0.25">
      <c r="C11" s="121">
        <v>0.08</v>
      </c>
      <c r="D11" s="127">
        <v>20146377</v>
      </c>
      <c r="E11" s="176" t="s">
        <v>517</v>
      </c>
      <c r="F11" s="129">
        <f>+M4</f>
        <v>1523159.6638655462</v>
      </c>
      <c r="G11" s="129">
        <f>+'CTA CORRIENTE'!H198+'CTA CORRIENTE'!H202</f>
        <v>1523160</v>
      </c>
      <c r="H11" s="130">
        <f>+G11-F11</f>
        <v>0.33613445376977324</v>
      </c>
    </row>
    <row r="12" spans="1:13" x14ac:dyDescent="0.25">
      <c r="C12" s="121">
        <v>0.04</v>
      </c>
      <c r="D12" s="127">
        <v>20146632</v>
      </c>
      <c r="E12" s="176" t="s">
        <v>517</v>
      </c>
      <c r="F12" s="129">
        <f>+M3</f>
        <v>761579.83193277312</v>
      </c>
      <c r="G12" s="129">
        <f>+'CTA CORRIENTE'!H199+'CTA CORRIENTE'!H203</f>
        <v>761580</v>
      </c>
      <c r="H12" s="130">
        <f t="shared" ref="H12" si="1">+G12-F12</f>
        <v>0.16806722688488662</v>
      </c>
    </row>
    <row r="13" spans="1:13" x14ac:dyDescent="0.25">
      <c r="C13" s="133" t="s">
        <v>91</v>
      </c>
      <c r="D13" s="133"/>
      <c r="E13" s="133"/>
      <c r="F13" s="134">
        <f>+SUM(F10:F12)</f>
        <v>4188689.9159663869</v>
      </c>
      <c r="G13" s="134">
        <f>+SUM(G10:G12)</f>
        <v>4188690</v>
      </c>
      <c r="H13" s="134">
        <f>+SUM(H10:H12)</f>
        <v>8.4033613326027989E-2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-8.4033613093197346E-2</v>
      </c>
      <c r="H14" s="1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88F1-CCF9-4208-838F-BC211DB63ED0}">
  <sheetPr>
    <tabColor theme="9" tint="-0.249977111117893"/>
  </sheetPr>
  <dimension ref="C2:AD53"/>
  <sheetViews>
    <sheetView topLeftCell="M20" zoomScaleNormal="100" workbookViewId="0">
      <selection activeCell="AA8" sqref="AA8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65416484</v>
      </c>
      <c r="I4" s="60"/>
      <c r="J4" s="59" t="s">
        <v>36</v>
      </c>
      <c r="K4" s="62">
        <v>70110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350292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477</v>
      </c>
      <c r="E6" s="64"/>
      <c r="F6" s="63"/>
      <c r="G6" s="63" t="s">
        <v>46</v>
      </c>
      <c r="H6" s="66">
        <v>65066192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913561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64996082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36822.49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477</v>
      </c>
      <c r="H10" s="76">
        <v>1240010446</v>
      </c>
      <c r="I10" s="247" t="s">
        <v>68</v>
      </c>
      <c r="J10" s="249"/>
      <c r="K10" s="78" t="s">
        <v>478</v>
      </c>
      <c r="L10" s="248" t="s">
        <v>479</v>
      </c>
      <c r="M10" s="249"/>
      <c r="N10" s="77" t="s">
        <v>480</v>
      </c>
      <c r="O10" s="76">
        <v>-9026390</v>
      </c>
      <c r="P10" s="76">
        <v>-9026390</v>
      </c>
      <c r="Q10" s="79" t="s">
        <v>481</v>
      </c>
      <c r="R10" s="76">
        <v>-22866.85</v>
      </c>
      <c r="S10" s="76">
        <v>-9003523</v>
      </c>
      <c r="T10" s="56"/>
      <c r="U10" s="82">
        <f t="shared" ref="U10:U19" si="0">+R10/P10</f>
        <v>2.5333328163307809E-3</v>
      </c>
      <c r="V10" s="87">
        <f t="shared" ref="V10:V19" si="1">+U10*P10</f>
        <v>-22866.85</v>
      </c>
      <c r="W10" s="84">
        <f t="shared" ref="W10:W19" si="2">+P10-V10</f>
        <v>-9003523.1500000004</v>
      </c>
      <c r="X10" s="84"/>
      <c r="Y10" s="88">
        <f>+Q10%*(N10/30)*P10</f>
        <v>-22866.854666666666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477</v>
      </c>
      <c r="H11" s="76">
        <v>1240010446</v>
      </c>
      <c r="I11" s="247" t="s">
        <v>68</v>
      </c>
      <c r="J11" s="249"/>
      <c r="K11" s="78" t="s">
        <v>482</v>
      </c>
      <c r="L11" s="248" t="s">
        <v>479</v>
      </c>
      <c r="M11" s="249"/>
      <c r="N11" s="77" t="s">
        <v>480</v>
      </c>
      <c r="O11" s="76">
        <v>-3610556</v>
      </c>
      <c r="P11" s="76">
        <v>-3610556</v>
      </c>
      <c r="Q11" s="79" t="s">
        <v>481</v>
      </c>
      <c r="R11" s="76">
        <v>-9146.74</v>
      </c>
      <c r="S11" s="76">
        <v>-3601409</v>
      </c>
      <c r="T11" s="56"/>
      <c r="U11" s="82">
        <f t="shared" si="0"/>
        <v>2.5333328163307813E-3</v>
      </c>
      <c r="V11" s="87">
        <f t="shared" si="1"/>
        <v>-9146.74</v>
      </c>
      <c r="W11" s="84">
        <f t="shared" si="2"/>
        <v>-3601409.26</v>
      </c>
      <c r="X11" s="84"/>
      <c r="Y11" s="88">
        <f t="shared" ref="Y11:Y44" si="3">+Q11%*(N11/30)*P11</f>
        <v>-9146.7418666666654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477</v>
      </c>
      <c r="H12" s="76">
        <v>1240010446</v>
      </c>
      <c r="I12" s="247" t="s">
        <v>68</v>
      </c>
      <c r="J12" s="249"/>
      <c r="K12" s="78" t="s">
        <v>483</v>
      </c>
      <c r="L12" s="248" t="s">
        <v>479</v>
      </c>
      <c r="M12" s="249"/>
      <c r="N12" s="77" t="s">
        <v>480</v>
      </c>
      <c r="O12" s="76">
        <v>-7221112</v>
      </c>
      <c r="P12" s="76">
        <v>-7221112</v>
      </c>
      <c r="Q12" s="79" t="s">
        <v>481</v>
      </c>
      <c r="R12" s="76">
        <v>-18293.48</v>
      </c>
      <c r="S12" s="76">
        <v>-7202819</v>
      </c>
      <c r="T12" s="56"/>
      <c r="U12" s="82">
        <f t="shared" si="0"/>
        <v>2.5333328163307813E-3</v>
      </c>
      <c r="V12" s="87">
        <f t="shared" si="1"/>
        <v>-18293.48</v>
      </c>
      <c r="W12" s="84">
        <f t="shared" si="2"/>
        <v>-7202818.5199999996</v>
      </c>
      <c r="X12" s="83"/>
      <c r="Y12" s="88">
        <f t="shared" si="3"/>
        <v>-18293.483733333331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477</v>
      </c>
      <c r="H13" s="76">
        <v>1240010446</v>
      </c>
      <c r="I13" s="247" t="s">
        <v>68</v>
      </c>
      <c r="J13" s="249"/>
      <c r="K13" s="78" t="s">
        <v>484</v>
      </c>
      <c r="L13" s="248" t="s">
        <v>479</v>
      </c>
      <c r="M13" s="249"/>
      <c r="N13" s="77" t="s">
        <v>480</v>
      </c>
      <c r="O13" s="76">
        <v>-1325363</v>
      </c>
      <c r="P13" s="76">
        <v>-1325363</v>
      </c>
      <c r="Q13" s="79" t="s">
        <v>481</v>
      </c>
      <c r="R13" s="76">
        <v>-3357.59</v>
      </c>
      <c r="S13" s="76">
        <v>-1322005</v>
      </c>
      <c r="T13" s="56"/>
      <c r="U13" s="82">
        <f t="shared" si="0"/>
        <v>2.5333361501716891E-3</v>
      </c>
      <c r="V13" s="87">
        <f t="shared" si="1"/>
        <v>-3357.59</v>
      </c>
      <c r="W13" s="84">
        <f t="shared" si="2"/>
        <v>-1322005.4099999999</v>
      </c>
      <c r="X13" s="83"/>
      <c r="Y13" s="88">
        <f t="shared" si="3"/>
        <v>-3357.5862666666667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477</v>
      </c>
      <c r="H14" s="76">
        <v>1240010446</v>
      </c>
      <c r="I14" s="247" t="s">
        <v>68</v>
      </c>
      <c r="J14" s="249"/>
      <c r="K14" s="78" t="s">
        <v>485</v>
      </c>
      <c r="L14" s="248" t="s">
        <v>479</v>
      </c>
      <c r="M14" s="249"/>
      <c r="N14" s="77" t="s">
        <v>480</v>
      </c>
      <c r="O14" s="76">
        <v>-1060290</v>
      </c>
      <c r="P14" s="76">
        <v>-1060290</v>
      </c>
      <c r="Q14" s="79" t="s">
        <v>481</v>
      </c>
      <c r="R14" s="76">
        <v>-2686.07</v>
      </c>
      <c r="S14" s="76">
        <v>-1057604</v>
      </c>
      <c r="T14" s="56"/>
      <c r="U14" s="82">
        <f t="shared" si="0"/>
        <v>2.5333352196097295E-3</v>
      </c>
      <c r="V14" s="87">
        <f t="shared" si="1"/>
        <v>-2686.07</v>
      </c>
      <c r="W14" s="84">
        <f t="shared" si="2"/>
        <v>-1057603.93</v>
      </c>
      <c r="X14" s="83"/>
      <c r="Y14" s="88">
        <f t="shared" si="3"/>
        <v>-2686.0679999999998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477</v>
      </c>
      <c r="H15" s="76">
        <v>1240010446</v>
      </c>
      <c r="I15" s="247" t="s">
        <v>68</v>
      </c>
      <c r="J15" s="249"/>
      <c r="K15" s="78" t="s">
        <v>486</v>
      </c>
      <c r="L15" s="248" t="s">
        <v>479</v>
      </c>
      <c r="M15" s="249"/>
      <c r="N15" s="77" t="s">
        <v>480</v>
      </c>
      <c r="O15" s="76">
        <v>-530145</v>
      </c>
      <c r="P15" s="76">
        <v>-530145</v>
      </c>
      <c r="Q15" s="79" t="s">
        <v>481</v>
      </c>
      <c r="R15" s="76">
        <v>-1343.03</v>
      </c>
      <c r="S15" s="76">
        <v>-528802</v>
      </c>
      <c r="T15" s="56"/>
      <c r="U15" s="82">
        <f t="shared" si="0"/>
        <v>2.533325788227749E-3</v>
      </c>
      <c r="V15" s="87">
        <f t="shared" si="1"/>
        <v>-1343.03</v>
      </c>
      <c r="W15" s="84">
        <f t="shared" si="2"/>
        <v>-528801.97</v>
      </c>
      <c r="X15" s="83"/>
      <c r="Y15" s="88">
        <f t="shared" si="3"/>
        <v>-1343.0339999999999</v>
      </c>
      <c r="Z15" s="83"/>
      <c r="AA15" s="56"/>
    </row>
    <row r="16" spans="3:27" s="49" customFormat="1" ht="12.75" x14ac:dyDescent="0.2">
      <c r="C16" s="245" t="s">
        <v>66</v>
      </c>
      <c r="D16" s="243"/>
      <c r="E16" s="246" t="s">
        <v>67</v>
      </c>
      <c r="F16" s="243"/>
      <c r="G16" s="75" t="s">
        <v>477</v>
      </c>
      <c r="H16" s="76">
        <v>1240010446</v>
      </c>
      <c r="I16" s="247" t="s">
        <v>68</v>
      </c>
      <c r="J16" s="243"/>
      <c r="K16" s="78" t="s">
        <v>487</v>
      </c>
      <c r="L16" s="248" t="s">
        <v>479</v>
      </c>
      <c r="M16" s="243"/>
      <c r="N16" s="77" t="s">
        <v>480</v>
      </c>
      <c r="O16" s="76">
        <v>-1472625</v>
      </c>
      <c r="P16" s="76">
        <v>-1472625</v>
      </c>
      <c r="Q16" s="79" t="s">
        <v>481</v>
      </c>
      <c r="R16" s="76">
        <v>-3730.65</v>
      </c>
      <c r="S16" s="76">
        <v>-1468894</v>
      </c>
      <c r="T16" s="56"/>
      <c r="U16" s="82">
        <f t="shared" si="0"/>
        <v>2.5333333333333332E-3</v>
      </c>
      <c r="V16" s="87">
        <f t="shared" si="1"/>
        <v>-3730.6499999999996</v>
      </c>
      <c r="W16" s="84">
        <f t="shared" si="2"/>
        <v>-1468894.35</v>
      </c>
      <c r="X16" s="83"/>
      <c r="Y16" s="88">
        <f t="shared" si="3"/>
        <v>-3730.6499999999996</v>
      </c>
      <c r="Z16" s="83"/>
      <c r="AA16" s="56"/>
    </row>
    <row r="17" spans="3:27" s="49" customFormat="1" x14ac:dyDescent="0.25">
      <c r="C17" s="245" t="s">
        <v>66</v>
      </c>
      <c r="D17" s="249"/>
      <c r="E17" s="246" t="s">
        <v>67</v>
      </c>
      <c r="F17" s="249"/>
      <c r="G17" s="75" t="s">
        <v>477</v>
      </c>
      <c r="H17" s="76">
        <v>1240010446</v>
      </c>
      <c r="I17" s="247" t="s">
        <v>68</v>
      </c>
      <c r="J17" s="249"/>
      <c r="K17" s="78" t="s">
        <v>488</v>
      </c>
      <c r="L17" s="248" t="s">
        <v>479</v>
      </c>
      <c r="M17" s="249"/>
      <c r="N17" s="77" t="s">
        <v>480</v>
      </c>
      <c r="O17" s="76">
        <v>-589050</v>
      </c>
      <c r="P17" s="76">
        <v>-589050</v>
      </c>
      <c r="Q17" s="79" t="s">
        <v>481</v>
      </c>
      <c r="R17" s="76">
        <v>-1492.26</v>
      </c>
      <c r="S17" s="76">
        <v>-587558</v>
      </c>
      <c r="T17" s="56"/>
      <c r="U17" s="82">
        <f t="shared" si="0"/>
        <v>2.5333333333333332E-3</v>
      </c>
      <c r="V17" s="87">
        <f t="shared" si="1"/>
        <v>-1492.26</v>
      </c>
      <c r="W17" s="84">
        <f t="shared" si="2"/>
        <v>-587557.74</v>
      </c>
      <c r="X17" s="83"/>
      <c r="Y17" s="88">
        <f t="shared" si="3"/>
        <v>-1492.26</v>
      </c>
      <c r="Z17" s="83"/>
      <c r="AA17" s="56"/>
    </row>
    <row r="18" spans="3:27" s="49" customFormat="1" x14ac:dyDescent="0.25">
      <c r="C18" s="245" t="s">
        <v>66</v>
      </c>
      <c r="D18" s="249"/>
      <c r="E18" s="246" t="s">
        <v>67</v>
      </c>
      <c r="F18" s="249"/>
      <c r="G18" s="75" t="s">
        <v>477</v>
      </c>
      <c r="H18" s="76">
        <v>1240010446</v>
      </c>
      <c r="I18" s="247" t="s">
        <v>68</v>
      </c>
      <c r="J18" s="249"/>
      <c r="K18" s="78" t="s">
        <v>489</v>
      </c>
      <c r="L18" s="248" t="s">
        <v>479</v>
      </c>
      <c r="M18" s="249"/>
      <c r="N18" s="77" t="s">
        <v>480</v>
      </c>
      <c r="O18" s="76">
        <v>-1178100</v>
      </c>
      <c r="P18" s="76">
        <v>-1178100</v>
      </c>
      <c r="Q18" s="79" t="s">
        <v>481</v>
      </c>
      <c r="R18" s="76">
        <v>-2984.52</v>
      </c>
      <c r="S18" s="76">
        <v>-1175115</v>
      </c>
      <c r="T18" s="56"/>
      <c r="U18" s="82">
        <f t="shared" si="0"/>
        <v>2.5333333333333332E-3</v>
      </c>
      <c r="V18" s="87">
        <f t="shared" si="1"/>
        <v>-2984.52</v>
      </c>
      <c r="W18" s="84">
        <f t="shared" si="2"/>
        <v>-1175115.48</v>
      </c>
      <c r="X18" s="83"/>
      <c r="Y18" s="88">
        <f t="shared" si="3"/>
        <v>-2984.52</v>
      </c>
      <c r="Z18" s="83"/>
      <c r="AA18" s="56"/>
    </row>
    <row r="19" spans="3:27" s="49" customFormat="1" x14ac:dyDescent="0.25">
      <c r="C19" s="245" t="s">
        <v>66</v>
      </c>
      <c r="D19" s="249"/>
      <c r="E19" s="246" t="s">
        <v>67</v>
      </c>
      <c r="F19" s="249"/>
      <c r="G19" s="75" t="s">
        <v>477</v>
      </c>
      <c r="H19" s="76">
        <v>1240010446</v>
      </c>
      <c r="I19" s="247" t="s">
        <v>68</v>
      </c>
      <c r="J19" s="249"/>
      <c r="K19" s="78" t="s">
        <v>490</v>
      </c>
      <c r="L19" s="248" t="s">
        <v>479</v>
      </c>
      <c r="M19" s="249"/>
      <c r="N19" s="77" t="s">
        <v>480</v>
      </c>
      <c r="O19" s="76">
        <v>-3795089</v>
      </c>
      <c r="P19" s="76">
        <v>-3795089</v>
      </c>
      <c r="Q19" s="79" t="s">
        <v>481</v>
      </c>
      <c r="R19" s="76">
        <v>-9614.23</v>
      </c>
      <c r="S19" s="76">
        <v>-3785475</v>
      </c>
      <c r="T19" s="56"/>
      <c r="U19" s="82">
        <f t="shared" si="0"/>
        <v>2.5333345278595572E-3</v>
      </c>
      <c r="V19" s="87">
        <f t="shared" si="1"/>
        <v>-9614.23</v>
      </c>
      <c r="W19" s="84">
        <f t="shared" si="2"/>
        <v>-3785474.77</v>
      </c>
      <c r="X19" s="83"/>
      <c r="Y19" s="88">
        <f t="shared" si="3"/>
        <v>-9614.2254666666668</v>
      </c>
      <c r="Z19" s="83"/>
      <c r="AA19" s="56"/>
    </row>
    <row r="20" spans="3:27" s="49" customFormat="1" x14ac:dyDescent="0.25">
      <c r="C20" s="245" t="s">
        <v>66</v>
      </c>
      <c r="D20" s="249"/>
      <c r="E20" s="246" t="s">
        <v>67</v>
      </c>
      <c r="F20" s="249"/>
      <c r="G20" s="75" t="s">
        <v>477</v>
      </c>
      <c r="H20" s="76">
        <v>1240010446</v>
      </c>
      <c r="I20" s="247" t="s">
        <v>68</v>
      </c>
      <c r="J20" s="249"/>
      <c r="K20" s="78" t="s">
        <v>491</v>
      </c>
      <c r="L20" s="248" t="s">
        <v>479</v>
      </c>
      <c r="M20" s="249"/>
      <c r="N20" s="77" t="s">
        <v>480</v>
      </c>
      <c r="O20" s="76">
        <v>-3036071</v>
      </c>
      <c r="P20" s="76">
        <v>-3036071</v>
      </c>
      <c r="Q20" s="79" t="s">
        <v>481</v>
      </c>
      <c r="R20" s="76">
        <v>-7691.38</v>
      </c>
      <c r="S20" s="76">
        <v>-3028380</v>
      </c>
      <c r="T20" s="56"/>
      <c r="U20" s="82">
        <f t="shared" ref="U20:U30" si="4">+R20/P20</f>
        <v>2.5333333772497415E-3</v>
      </c>
      <c r="V20" s="87">
        <f t="shared" ref="V20:V30" si="5">+U20*P20</f>
        <v>-7691.38</v>
      </c>
      <c r="W20" s="84">
        <f t="shared" ref="W20:W30" si="6">+P20-V20</f>
        <v>-3028379.62</v>
      </c>
      <c r="X20" s="83"/>
      <c r="Y20" s="88">
        <f t="shared" si="3"/>
        <v>-7691.3798666666662</v>
      </c>
      <c r="Z20" s="83"/>
      <c r="AA20" s="56"/>
    </row>
    <row r="21" spans="3:27" s="49" customFormat="1" x14ac:dyDescent="0.25">
      <c r="C21" s="245" t="s">
        <v>66</v>
      </c>
      <c r="D21" s="249"/>
      <c r="E21" s="246" t="s">
        <v>67</v>
      </c>
      <c r="F21" s="249"/>
      <c r="G21" s="75" t="s">
        <v>477</v>
      </c>
      <c r="H21" s="76">
        <v>1240010446</v>
      </c>
      <c r="I21" s="247" t="s">
        <v>68</v>
      </c>
      <c r="J21" s="249"/>
      <c r="K21" s="78" t="s">
        <v>492</v>
      </c>
      <c r="L21" s="248" t="s">
        <v>479</v>
      </c>
      <c r="M21" s="249"/>
      <c r="N21" s="77" t="s">
        <v>480</v>
      </c>
      <c r="O21" s="76">
        <v>-1518035</v>
      </c>
      <c r="P21" s="76">
        <v>-1518035</v>
      </c>
      <c r="Q21" s="79" t="s">
        <v>481</v>
      </c>
      <c r="R21" s="76">
        <v>-3845.69</v>
      </c>
      <c r="S21" s="76">
        <v>-1514189</v>
      </c>
      <c r="T21" s="56"/>
      <c r="U21" s="82">
        <f t="shared" si="4"/>
        <v>2.5333342116617866E-3</v>
      </c>
      <c r="V21" s="87">
        <f t="shared" si="5"/>
        <v>-3845.69</v>
      </c>
      <c r="W21" s="84">
        <f t="shared" si="6"/>
        <v>-1514189.31</v>
      </c>
      <c r="X21" s="83"/>
      <c r="Y21" s="88">
        <f t="shared" si="3"/>
        <v>-3845.6886666666664</v>
      </c>
      <c r="Z21" s="83"/>
      <c r="AA21" s="56"/>
    </row>
    <row r="22" spans="3:27" s="49" customFormat="1" x14ac:dyDescent="0.25">
      <c r="C22" s="245" t="s">
        <v>66</v>
      </c>
      <c r="D22" s="249"/>
      <c r="E22" s="246" t="s">
        <v>67</v>
      </c>
      <c r="F22" s="249"/>
      <c r="G22" s="75" t="s">
        <v>477</v>
      </c>
      <c r="H22" s="76">
        <v>1240010446</v>
      </c>
      <c r="I22" s="247" t="s">
        <v>68</v>
      </c>
      <c r="J22" s="249"/>
      <c r="K22" s="78" t="s">
        <v>493</v>
      </c>
      <c r="L22" s="248" t="s">
        <v>479</v>
      </c>
      <c r="M22" s="249"/>
      <c r="N22" s="77" t="s">
        <v>480</v>
      </c>
      <c r="O22" s="76">
        <v>-156195</v>
      </c>
      <c r="P22" s="76">
        <v>-156195</v>
      </c>
      <c r="Q22" s="79" t="s">
        <v>481</v>
      </c>
      <c r="R22" s="76">
        <v>-395.69</v>
      </c>
      <c r="S22" s="76">
        <v>-155799</v>
      </c>
      <c r="T22" s="56"/>
      <c r="U22" s="82">
        <f t="shared" si="4"/>
        <v>2.5333077243189601E-3</v>
      </c>
      <c r="V22" s="87">
        <f t="shared" si="5"/>
        <v>-395.69</v>
      </c>
      <c r="W22" s="84">
        <f t="shared" si="6"/>
        <v>-155799.31</v>
      </c>
      <c r="X22" s="83"/>
      <c r="Y22" s="88">
        <f t="shared" si="3"/>
        <v>-395.69399999999996</v>
      </c>
      <c r="Z22" s="83"/>
      <c r="AA22" s="56"/>
    </row>
    <row r="23" spans="3:27" s="49" customFormat="1" x14ac:dyDescent="0.25">
      <c r="C23" s="245" t="s">
        <v>66</v>
      </c>
      <c r="D23" s="249"/>
      <c r="E23" s="246" t="s">
        <v>67</v>
      </c>
      <c r="F23" s="249"/>
      <c r="G23" s="75" t="s">
        <v>477</v>
      </c>
      <c r="H23" s="76">
        <v>1240010446</v>
      </c>
      <c r="I23" s="247" t="s">
        <v>69</v>
      </c>
      <c r="J23" s="249"/>
      <c r="K23" s="78" t="s">
        <v>494</v>
      </c>
      <c r="L23" s="248" t="s">
        <v>479</v>
      </c>
      <c r="M23" s="249"/>
      <c r="N23" s="77" t="s">
        <v>480</v>
      </c>
      <c r="O23" s="76">
        <v>24601365</v>
      </c>
      <c r="P23" s="76">
        <v>24601365</v>
      </c>
      <c r="Q23" s="79" t="s">
        <v>481</v>
      </c>
      <c r="R23" s="76">
        <v>62323.46</v>
      </c>
      <c r="S23" s="76">
        <v>24539042</v>
      </c>
      <c r="T23" s="56"/>
      <c r="U23" s="82">
        <f t="shared" si="4"/>
        <v>2.5333334146296353E-3</v>
      </c>
      <c r="V23" s="87">
        <f t="shared" si="5"/>
        <v>62323.46</v>
      </c>
      <c r="W23" s="84">
        <f t="shared" si="6"/>
        <v>24539041.539999999</v>
      </c>
      <c r="X23" s="83"/>
      <c r="Y23" s="88">
        <f t="shared" si="3"/>
        <v>62323.457999999999</v>
      </c>
      <c r="Z23" s="83"/>
      <c r="AA23" s="56"/>
    </row>
    <row r="24" spans="3:27" s="49" customFormat="1" x14ac:dyDescent="0.25">
      <c r="C24" s="245" t="s">
        <v>66</v>
      </c>
      <c r="D24" s="249"/>
      <c r="E24" s="246" t="s">
        <v>67</v>
      </c>
      <c r="F24" s="249"/>
      <c r="G24" s="75" t="s">
        <v>477</v>
      </c>
      <c r="H24" s="76">
        <v>1240010446</v>
      </c>
      <c r="I24" s="247" t="s">
        <v>69</v>
      </c>
      <c r="J24" s="249"/>
      <c r="K24" s="78" t="s">
        <v>495</v>
      </c>
      <c r="L24" s="248" t="s">
        <v>479</v>
      </c>
      <c r="M24" s="249"/>
      <c r="N24" s="77" t="s">
        <v>480</v>
      </c>
      <c r="O24" s="76">
        <v>7363125</v>
      </c>
      <c r="P24" s="76">
        <v>7363125</v>
      </c>
      <c r="Q24" s="79" t="s">
        <v>481</v>
      </c>
      <c r="R24" s="76">
        <v>18653.25</v>
      </c>
      <c r="S24" s="76">
        <v>7344472</v>
      </c>
      <c r="T24" s="56"/>
      <c r="U24" s="82">
        <f t="shared" si="4"/>
        <v>2.5333333333333332E-3</v>
      </c>
      <c r="V24" s="87">
        <f t="shared" si="5"/>
        <v>18653.25</v>
      </c>
      <c r="W24" s="84">
        <f t="shared" si="6"/>
        <v>7344471.75</v>
      </c>
      <c r="X24" s="83"/>
      <c r="Y24" s="88">
        <f t="shared" si="3"/>
        <v>18653.25</v>
      </c>
      <c r="Z24" s="83"/>
      <c r="AA24" s="56"/>
    </row>
    <row r="25" spans="3:27" s="49" customFormat="1" x14ac:dyDescent="0.25">
      <c r="C25" s="245" t="s">
        <v>66</v>
      </c>
      <c r="D25" s="249"/>
      <c r="E25" s="246" t="s">
        <v>67</v>
      </c>
      <c r="F25" s="249"/>
      <c r="G25" s="75" t="s">
        <v>477</v>
      </c>
      <c r="H25" s="76">
        <v>1240010446</v>
      </c>
      <c r="I25" s="247" t="s">
        <v>69</v>
      </c>
      <c r="J25" s="249"/>
      <c r="K25" s="78" t="s">
        <v>496</v>
      </c>
      <c r="L25" s="248" t="s">
        <v>479</v>
      </c>
      <c r="M25" s="249"/>
      <c r="N25" s="77" t="s">
        <v>480</v>
      </c>
      <c r="O25" s="76">
        <v>7363125</v>
      </c>
      <c r="P25" s="76">
        <v>7363125</v>
      </c>
      <c r="Q25" s="79" t="s">
        <v>481</v>
      </c>
      <c r="R25" s="76">
        <v>18653.25</v>
      </c>
      <c r="S25" s="76">
        <v>7344472</v>
      </c>
      <c r="T25" s="56"/>
      <c r="U25" s="82">
        <f t="shared" si="4"/>
        <v>2.5333333333333332E-3</v>
      </c>
      <c r="V25" s="87">
        <f t="shared" si="5"/>
        <v>18653.25</v>
      </c>
      <c r="W25" s="84">
        <f t="shared" si="6"/>
        <v>7344471.75</v>
      </c>
      <c r="X25" s="83"/>
      <c r="Y25" s="88">
        <f t="shared" si="3"/>
        <v>18653.25</v>
      </c>
      <c r="Z25" s="83"/>
      <c r="AA25" s="56"/>
    </row>
    <row r="26" spans="3:27" s="49" customFormat="1" x14ac:dyDescent="0.25">
      <c r="C26" s="245" t="s">
        <v>66</v>
      </c>
      <c r="D26" s="249"/>
      <c r="E26" s="246" t="s">
        <v>67</v>
      </c>
      <c r="F26" s="249"/>
      <c r="G26" s="75" t="s">
        <v>477</v>
      </c>
      <c r="H26" s="76">
        <v>1240010448</v>
      </c>
      <c r="I26" s="247" t="s">
        <v>69</v>
      </c>
      <c r="J26" s="249"/>
      <c r="K26" s="78" t="s">
        <v>497</v>
      </c>
      <c r="L26" s="248" t="s">
        <v>498</v>
      </c>
      <c r="M26" s="249"/>
      <c r="N26" s="77" t="s">
        <v>163</v>
      </c>
      <c r="O26" s="76">
        <v>15293880</v>
      </c>
      <c r="P26" s="76">
        <v>15293880</v>
      </c>
      <c r="Q26" s="79" t="s">
        <v>481</v>
      </c>
      <c r="R26" s="76">
        <v>72645.929999999993</v>
      </c>
      <c r="S26" s="76">
        <v>15221234</v>
      </c>
      <c r="T26" s="56"/>
      <c r="U26" s="82">
        <f t="shared" si="4"/>
        <v>4.7499999999999999E-3</v>
      </c>
      <c r="V26" s="87">
        <f t="shared" si="5"/>
        <v>72645.929999999993</v>
      </c>
      <c r="W26" s="84">
        <f t="shared" si="6"/>
        <v>15221234.07</v>
      </c>
      <c r="X26" s="83"/>
      <c r="Y26" s="88">
        <f t="shared" si="3"/>
        <v>72645.929999999993</v>
      </c>
      <c r="Z26" s="83"/>
      <c r="AA26" s="56"/>
    </row>
    <row r="27" spans="3:27" s="49" customFormat="1" x14ac:dyDescent="0.25">
      <c r="C27" s="245" t="s">
        <v>66</v>
      </c>
      <c r="D27" s="249"/>
      <c r="E27" s="246" t="s">
        <v>67</v>
      </c>
      <c r="F27" s="249"/>
      <c r="G27" s="75" t="s">
        <v>477</v>
      </c>
      <c r="H27" s="76">
        <v>1240010448</v>
      </c>
      <c r="I27" s="247" t="s">
        <v>69</v>
      </c>
      <c r="J27" s="249"/>
      <c r="K27" s="78" t="s">
        <v>499</v>
      </c>
      <c r="L27" s="248" t="s">
        <v>498</v>
      </c>
      <c r="M27" s="249"/>
      <c r="N27" s="77" t="s">
        <v>163</v>
      </c>
      <c r="O27" s="76">
        <v>15293880</v>
      </c>
      <c r="P27" s="76">
        <v>15293880</v>
      </c>
      <c r="Q27" s="79" t="s">
        <v>481</v>
      </c>
      <c r="R27" s="76">
        <v>72645.929999999993</v>
      </c>
      <c r="S27" s="76">
        <v>15221234</v>
      </c>
      <c r="T27" s="56"/>
      <c r="U27" s="82">
        <f t="shared" si="4"/>
        <v>4.7499999999999999E-3</v>
      </c>
      <c r="V27" s="87">
        <f t="shared" si="5"/>
        <v>72645.929999999993</v>
      </c>
      <c r="W27" s="84">
        <f t="shared" si="6"/>
        <v>15221234.07</v>
      </c>
      <c r="X27" s="83"/>
      <c r="Y27" s="88">
        <f t="shared" si="3"/>
        <v>72645.929999999993</v>
      </c>
      <c r="Z27" s="83"/>
      <c r="AA27" s="56"/>
    </row>
    <row r="28" spans="3:27" s="49" customFormat="1" x14ac:dyDescent="0.25">
      <c r="C28" s="245" t="s">
        <v>66</v>
      </c>
      <c r="D28" s="249"/>
      <c r="E28" s="246" t="s">
        <v>67</v>
      </c>
      <c r="F28" s="249"/>
      <c r="G28" s="75" t="s">
        <v>477</v>
      </c>
      <c r="H28" s="76">
        <v>1240010448</v>
      </c>
      <c r="I28" s="247" t="s">
        <v>69</v>
      </c>
      <c r="J28" s="249"/>
      <c r="K28" s="78" t="s">
        <v>500</v>
      </c>
      <c r="L28" s="248" t="s">
        <v>498</v>
      </c>
      <c r="M28" s="249"/>
      <c r="N28" s="77" t="s">
        <v>163</v>
      </c>
      <c r="O28" s="76">
        <v>7363125</v>
      </c>
      <c r="P28" s="76">
        <v>7363125</v>
      </c>
      <c r="Q28" s="79" t="s">
        <v>481</v>
      </c>
      <c r="R28" s="76">
        <v>34974.839999999997</v>
      </c>
      <c r="S28" s="76">
        <v>7328150</v>
      </c>
      <c r="T28" s="56"/>
      <c r="U28" s="82">
        <f t="shared" si="4"/>
        <v>4.7499994907053726E-3</v>
      </c>
      <c r="V28" s="87">
        <f t="shared" si="5"/>
        <v>34974.839999999997</v>
      </c>
      <c r="W28" s="84">
        <f t="shared" si="6"/>
        <v>7328150.1600000001</v>
      </c>
      <c r="X28" s="83"/>
      <c r="Y28" s="88">
        <f t="shared" si="3"/>
        <v>34974.84375</v>
      </c>
      <c r="Z28" s="83"/>
      <c r="AA28" s="56"/>
    </row>
    <row r="29" spans="3:27" s="49" customFormat="1" x14ac:dyDescent="0.25">
      <c r="C29" s="245" t="s">
        <v>66</v>
      </c>
      <c r="D29" s="249"/>
      <c r="E29" s="246" t="s">
        <v>67</v>
      </c>
      <c r="F29" s="249"/>
      <c r="G29" s="75" t="s">
        <v>477</v>
      </c>
      <c r="H29" s="76">
        <v>1240010450</v>
      </c>
      <c r="I29" s="247" t="s">
        <v>69</v>
      </c>
      <c r="J29" s="249"/>
      <c r="K29" s="78" t="s">
        <v>501</v>
      </c>
      <c r="L29" s="248" t="s">
        <v>502</v>
      </c>
      <c r="M29" s="249"/>
      <c r="N29" s="77" t="s">
        <v>97</v>
      </c>
      <c r="O29" s="76">
        <v>7363125</v>
      </c>
      <c r="P29" s="76">
        <v>7363125</v>
      </c>
      <c r="Q29" s="79" t="s">
        <v>481</v>
      </c>
      <c r="R29" s="76">
        <v>51296.44</v>
      </c>
      <c r="S29" s="76">
        <v>7311829</v>
      </c>
      <c r="T29" s="56"/>
      <c r="U29" s="82">
        <f t="shared" si="4"/>
        <v>6.9666670061964186E-3</v>
      </c>
      <c r="V29" s="87">
        <f t="shared" si="5"/>
        <v>51296.44</v>
      </c>
      <c r="W29" s="84">
        <f t="shared" si="6"/>
        <v>7311828.5599999996</v>
      </c>
      <c r="X29" s="83"/>
      <c r="Y29" s="88">
        <f t="shared" si="3"/>
        <v>51296.437499999993</v>
      </c>
      <c r="Z29" s="83"/>
      <c r="AA29" s="56"/>
    </row>
    <row r="30" spans="3:27" s="49" customFormat="1" x14ac:dyDescent="0.25">
      <c r="C30" s="245" t="s">
        <v>66</v>
      </c>
      <c r="D30" s="249"/>
      <c r="E30" s="246" t="s">
        <v>67</v>
      </c>
      <c r="F30" s="249"/>
      <c r="G30" s="75" t="s">
        <v>477</v>
      </c>
      <c r="H30" s="76">
        <v>1240010450</v>
      </c>
      <c r="I30" s="247" t="s">
        <v>69</v>
      </c>
      <c r="J30" s="249"/>
      <c r="K30" s="78" t="s">
        <v>503</v>
      </c>
      <c r="L30" s="248" t="s">
        <v>502</v>
      </c>
      <c r="M30" s="249"/>
      <c r="N30" s="77" t="s">
        <v>97</v>
      </c>
      <c r="O30" s="76">
        <v>15293880</v>
      </c>
      <c r="P30" s="76">
        <v>15293880</v>
      </c>
      <c r="Q30" s="79" t="s">
        <v>481</v>
      </c>
      <c r="R30" s="76">
        <v>106547.36</v>
      </c>
      <c r="S30" s="76">
        <v>15187333</v>
      </c>
      <c r="T30" s="56"/>
      <c r="U30" s="82">
        <f t="shared" si="4"/>
        <v>6.9666664051241415E-3</v>
      </c>
      <c r="V30" s="87">
        <f t="shared" si="5"/>
        <v>106547.36</v>
      </c>
      <c r="W30" s="84">
        <f t="shared" si="6"/>
        <v>15187332.640000001</v>
      </c>
      <c r="X30" s="83"/>
      <c r="Y30" s="88">
        <f t="shared" si="3"/>
        <v>106547.36399999999</v>
      </c>
      <c r="Z30" s="83"/>
      <c r="AA30" s="56"/>
    </row>
    <row r="31" spans="3:27" s="49" customFormat="1" x14ac:dyDescent="0.25">
      <c r="C31" s="245"/>
      <c r="D31" s="249"/>
      <c r="E31" s="246"/>
      <c r="F31" s="249"/>
      <c r="G31" s="75"/>
      <c r="H31" s="76"/>
      <c r="I31" s="247"/>
      <c r="J31" s="249"/>
      <c r="K31" s="78"/>
      <c r="L31" s="248"/>
      <c r="M31" s="249"/>
      <c r="N31" s="77"/>
      <c r="O31" s="76"/>
      <c r="P31" s="76"/>
      <c r="Q31" s="79"/>
      <c r="R31" s="76"/>
      <c r="S31" s="76"/>
      <c r="T31" s="56"/>
      <c r="U31" s="82"/>
      <c r="V31" s="87"/>
      <c r="W31" s="84"/>
      <c r="X31" s="83"/>
      <c r="Y31" s="88">
        <f t="shared" si="3"/>
        <v>0</v>
      </c>
      <c r="Z31" s="83"/>
      <c r="AA31" s="56"/>
    </row>
    <row r="32" spans="3:27" s="49" customFormat="1" ht="12.75" hidden="1" x14ac:dyDescent="0.2">
      <c r="C32" s="245"/>
      <c r="D32" s="243"/>
      <c r="E32" s="246"/>
      <c r="F32" s="243"/>
      <c r="G32" s="75"/>
      <c r="H32" s="76"/>
      <c r="I32" s="247"/>
      <c r="J32" s="243"/>
      <c r="K32" s="78"/>
      <c r="L32" s="248"/>
      <c r="M32" s="243"/>
      <c r="N32" s="77"/>
      <c r="O32" s="76"/>
      <c r="P32" s="76"/>
      <c r="Q32" s="79"/>
      <c r="R32" s="76"/>
      <c r="S32" s="76"/>
      <c r="T32" s="56"/>
      <c r="U32" s="82"/>
      <c r="V32" s="87"/>
      <c r="W32" s="84"/>
      <c r="X32" s="83"/>
      <c r="Y32" s="88">
        <f t="shared" si="3"/>
        <v>0</v>
      </c>
      <c r="Z32" s="83"/>
      <c r="AA32" s="56"/>
    </row>
    <row r="33" spans="3:30" s="49" customFormat="1" hidden="1" x14ac:dyDescent="0.25">
      <c r="C33" s="245"/>
      <c r="D33" s="249"/>
      <c r="E33" s="246"/>
      <c r="F33" s="249"/>
      <c r="G33" s="75"/>
      <c r="H33" s="76"/>
      <c r="I33" s="247"/>
      <c r="J33" s="249"/>
      <c r="K33" s="78"/>
      <c r="L33" s="248"/>
      <c r="M33" s="249"/>
      <c r="N33" s="77"/>
      <c r="O33" s="76"/>
      <c r="P33" s="76"/>
      <c r="Q33" s="79"/>
      <c r="R33" s="76"/>
      <c r="S33" s="76"/>
      <c r="T33" s="56"/>
      <c r="U33" s="82"/>
      <c r="V33" s="87"/>
      <c r="W33" s="84"/>
      <c r="X33" s="83"/>
      <c r="Y33" s="88">
        <f t="shared" si="3"/>
        <v>0</v>
      </c>
      <c r="Z33" s="83"/>
      <c r="AA33" s="56"/>
    </row>
    <row r="34" spans="3:30" s="49" customFormat="1" hidden="1" x14ac:dyDescent="0.25">
      <c r="C34" s="245"/>
      <c r="D34" s="249"/>
      <c r="E34" s="246"/>
      <c r="F34" s="249"/>
      <c r="G34" s="75"/>
      <c r="H34" s="76"/>
      <c r="I34" s="247"/>
      <c r="J34" s="249"/>
      <c r="K34" s="78"/>
      <c r="L34" s="248"/>
      <c r="M34" s="249"/>
      <c r="N34" s="77"/>
      <c r="O34" s="76"/>
      <c r="P34" s="76"/>
      <c r="Q34" s="79"/>
      <c r="R34" s="76"/>
      <c r="S34" s="76"/>
      <c r="T34" s="56"/>
      <c r="U34" s="82"/>
      <c r="V34" s="87"/>
      <c r="W34" s="84"/>
      <c r="X34" s="83"/>
      <c r="Y34" s="88">
        <f t="shared" si="3"/>
        <v>0</v>
      </c>
      <c r="Z34" s="83"/>
      <c r="AA34" s="56"/>
    </row>
    <row r="35" spans="3:30" s="49" customFormat="1" hidden="1" x14ac:dyDescent="0.25">
      <c r="C35" s="245"/>
      <c r="D35" s="249"/>
      <c r="E35" s="246"/>
      <c r="F35" s="249"/>
      <c r="G35" s="75"/>
      <c r="H35" s="76"/>
      <c r="I35" s="247"/>
      <c r="J35" s="249"/>
      <c r="K35" s="78"/>
      <c r="L35" s="248"/>
      <c r="M35" s="249"/>
      <c r="N35" s="77"/>
      <c r="O35" s="76"/>
      <c r="P35" s="76"/>
      <c r="Q35" s="79"/>
      <c r="R35" s="76"/>
      <c r="S35" s="76"/>
      <c r="T35" s="56"/>
      <c r="U35" s="82"/>
      <c r="V35" s="87"/>
      <c r="W35" s="84"/>
      <c r="X35" s="83"/>
      <c r="Y35" s="88">
        <f t="shared" si="3"/>
        <v>0</v>
      </c>
      <c r="Z35" s="83"/>
      <c r="AA35" s="56"/>
    </row>
    <row r="36" spans="3:30" s="49" customFormat="1" hidden="1" x14ac:dyDescent="0.25">
      <c r="C36" s="245"/>
      <c r="D36" s="249"/>
      <c r="E36" s="246"/>
      <c r="F36" s="249"/>
      <c r="G36" s="75"/>
      <c r="H36" s="76"/>
      <c r="I36" s="247"/>
      <c r="J36" s="249"/>
      <c r="K36" s="78"/>
      <c r="L36" s="248"/>
      <c r="M36" s="249"/>
      <c r="N36" s="77"/>
      <c r="O36" s="76"/>
      <c r="P36" s="76"/>
      <c r="Q36" s="79"/>
      <c r="R36" s="76"/>
      <c r="S36" s="76"/>
      <c r="T36" s="56"/>
      <c r="U36" s="82"/>
      <c r="V36" s="87"/>
      <c r="W36" s="84"/>
      <c r="X36" s="83"/>
      <c r="Y36" s="88">
        <f t="shared" si="3"/>
        <v>0</v>
      </c>
      <c r="Z36" s="83"/>
      <c r="AA36" s="56"/>
    </row>
    <row r="37" spans="3:30" s="49" customFormat="1" hidden="1" x14ac:dyDescent="0.25">
      <c r="C37" s="245"/>
      <c r="D37" s="249"/>
      <c r="E37" s="246"/>
      <c r="F37" s="249"/>
      <c r="G37" s="75"/>
      <c r="H37" s="76"/>
      <c r="I37" s="247"/>
      <c r="J37" s="249"/>
      <c r="K37" s="78"/>
      <c r="L37" s="248"/>
      <c r="M37" s="249"/>
      <c r="N37" s="77"/>
      <c r="O37" s="76"/>
      <c r="P37" s="76"/>
      <c r="Q37" s="79"/>
      <c r="R37" s="76"/>
      <c r="S37" s="76"/>
      <c r="T37" s="56"/>
      <c r="U37" s="82"/>
      <c r="V37" s="87"/>
      <c r="W37" s="84"/>
      <c r="X37" s="83"/>
      <c r="Y37" s="88">
        <f t="shared" si="3"/>
        <v>0</v>
      </c>
      <c r="Z37" s="83"/>
      <c r="AA37" s="56"/>
    </row>
    <row r="38" spans="3:30" s="49" customFormat="1" hidden="1" x14ac:dyDescent="0.25">
      <c r="C38" s="245"/>
      <c r="D38" s="249"/>
      <c r="E38" s="246"/>
      <c r="F38" s="249"/>
      <c r="G38" s="75"/>
      <c r="H38" s="76"/>
      <c r="I38" s="247"/>
      <c r="J38" s="249"/>
      <c r="K38" s="78"/>
      <c r="L38" s="248"/>
      <c r="M38" s="249"/>
      <c r="N38" s="77"/>
      <c r="O38" s="76"/>
      <c r="P38" s="76"/>
      <c r="Q38" s="79"/>
      <c r="R38" s="76"/>
      <c r="S38" s="76"/>
      <c r="T38" s="56"/>
      <c r="U38" s="82"/>
      <c r="V38" s="87"/>
      <c r="W38" s="84"/>
      <c r="X38" s="83"/>
      <c r="Y38" s="88">
        <f t="shared" si="3"/>
        <v>0</v>
      </c>
      <c r="Z38" s="83"/>
      <c r="AA38" s="56"/>
    </row>
    <row r="39" spans="3:30" s="49" customFormat="1" hidden="1" x14ac:dyDescent="0.25">
      <c r="C39" s="245"/>
      <c r="D39" s="249"/>
      <c r="E39" s="246"/>
      <c r="F39" s="249"/>
      <c r="G39" s="75"/>
      <c r="H39" s="76"/>
      <c r="I39" s="247"/>
      <c r="J39" s="249"/>
      <c r="K39" s="78"/>
      <c r="L39" s="248"/>
      <c r="M39" s="249"/>
      <c r="N39" s="77"/>
      <c r="O39" s="76"/>
      <c r="P39" s="76"/>
      <c r="Q39" s="79"/>
      <c r="R39" s="76"/>
      <c r="S39" s="76"/>
      <c r="T39" s="56"/>
      <c r="U39" s="82"/>
      <c r="V39" s="87"/>
      <c r="W39" s="84"/>
      <c r="X39" s="83"/>
      <c r="Y39" s="88">
        <f t="shared" si="3"/>
        <v>0</v>
      </c>
      <c r="Z39" s="83"/>
      <c r="AA39" s="56"/>
    </row>
    <row r="40" spans="3:30" s="49" customFormat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si="3"/>
        <v>0</v>
      </c>
      <c r="Z41" s="83"/>
      <c r="AA41" s="56"/>
    </row>
    <row r="42" spans="3:30" s="49" customFormat="1" ht="12.75" x14ac:dyDescent="0.2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3"/>
        <v>0</v>
      </c>
      <c r="Z42" s="83"/>
      <c r="AA42" s="56"/>
      <c r="AB42" s="56"/>
    </row>
    <row r="43" spans="3:30" s="49" customFormat="1" ht="12.75" x14ac:dyDescent="0.2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65416484</v>
      </c>
      <c r="P43" s="76">
        <v>65416484</v>
      </c>
      <c r="Q43" s="80"/>
      <c r="R43" s="76">
        <v>350292</v>
      </c>
      <c r="S43" s="76">
        <v>65066192</v>
      </c>
      <c r="T43" s="56"/>
      <c r="U43" s="82"/>
      <c r="V43" s="83"/>
      <c r="W43" s="84"/>
      <c r="X43" s="83"/>
      <c r="Y43" s="88">
        <f t="shared" si="3"/>
        <v>0</v>
      </c>
      <c r="Z43" s="83"/>
      <c r="AA43" s="56"/>
      <c r="AB43" s="56"/>
    </row>
    <row r="44" spans="3:30" s="49" customFormat="1" ht="12.7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3"/>
        <v>0</v>
      </c>
      <c r="Z44" s="83"/>
      <c r="AA44" s="56"/>
      <c r="AB44" s="56"/>
    </row>
    <row r="45" spans="3:30" s="49" customFormat="1" ht="12.7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2.75" x14ac:dyDescent="0.2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65416484</v>
      </c>
      <c r="P46" s="76">
        <f>+SUM(P10:P40)</f>
        <v>65416484</v>
      </c>
      <c r="Q46" s="80"/>
      <c r="R46" s="76">
        <f>+SUM(R10:R40)</f>
        <v>350292.27999999997</v>
      </c>
      <c r="S46" s="76">
        <f>+SUM(S10:S40)</f>
        <v>65066194</v>
      </c>
      <c r="U46" s="82"/>
      <c r="V46" s="91">
        <f>SUM(V10:V41)</f>
        <v>350292.27999999997</v>
      </c>
      <c r="W46" s="91">
        <f>SUM(W10:W42)</f>
        <v>65066191.719999999</v>
      </c>
      <c r="X46" s="56"/>
      <c r="Y46" s="91">
        <f>SUM(Y10:Y41)</f>
        <v>350292.27671666665</v>
      </c>
      <c r="Z46" s="91">
        <f>$AA$7*$AA$8*1.19</f>
        <v>70110.020959999994</v>
      </c>
      <c r="AA46" s="91">
        <f>+Y46+Z46</f>
        <v>420402.29767666664</v>
      </c>
      <c r="AB46" s="92">
        <f>+W46-Z46</f>
        <v>64996081.699039996</v>
      </c>
      <c r="AD46" s="56" t="s">
        <v>476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  <mergeCell ref="C37:D37"/>
    <mergeCell ref="E37:F37"/>
    <mergeCell ref="I37:J37"/>
    <mergeCell ref="L37:M37"/>
    <mergeCell ref="C38:D38"/>
    <mergeCell ref="E38:F38"/>
    <mergeCell ref="I38:J38"/>
    <mergeCell ref="L38:M38"/>
    <mergeCell ref="C35:D35"/>
    <mergeCell ref="E35:F35"/>
    <mergeCell ref="I35:J35"/>
    <mergeCell ref="L35:M35"/>
    <mergeCell ref="C36:D36"/>
    <mergeCell ref="E36:F36"/>
    <mergeCell ref="I36:J36"/>
    <mergeCell ref="L36:M36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C20:D20"/>
    <mergeCell ref="E20:F20"/>
    <mergeCell ref="I20:J20"/>
    <mergeCell ref="L20:M20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F2:M2"/>
    <mergeCell ref="C9:D9"/>
    <mergeCell ref="E9:F9"/>
    <mergeCell ref="I9:J9"/>
    <mergeCell ref="L9:M9"/>
    <mergeCell ref="C10:D10"/>
    <mergeCell ref="E10:F10"/>
    <mergeCell ref="I10:J10"/>
    <mergeCell ref="L10:M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456C-8FD0-4152-8385-E60C2CE486A8}">
  <dimension ref="A1:M14"/>
  <sheetViews>
    <sheetView workbookViewId="0">
      <selection activeCell="C8" sqref="C8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462</v>
      </c>
      <c r="F2" s="120" t="s">
        <v>463</v>
      </c>
      <c r="G2" s="120" t="s">
        <v>464</v>
      </c>
      <c r="H2" s="120" t="s">
        <v>465</v>
      </c>
      <c r="I2" s="200">
        <v>1472625</v>
      </c>
      <c r="J2" s="120" t="s">
        <v>83</v>
      </c>
      <c r="K2" s="120" t="s">
        <v>84</v>
      </c>
      <c r="L2" s="120"/>
      <c r="M2" s="124">
        <f t="shared" ref="M2:M4" si="0">+I2/1.19</f>
        <v>1237500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468</v>
      </c>
      <c r="F3" s="120" t="s">
        <v>469</v>
      </c>
      <c r="G3" s="120" t="s">
        <v>464</v>
      </c>
      <c r="H3" s="120" t="s">
        <v>465</v>
      </c>
      <c r="I3" s="175">
        <v>589050</v>
      </c>
      <c r="J3" s="120" t="s">
        <v>83</v>
      </c>
      <c r="K3" s="120" t="s">
        <v>84</v>
      </c>
      <c r="L3" s="120"/>
      <c r="M3" s="124">
        <f t="shared" si="0"/>
        <v>495000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466</v>
      </c>
      <c r="F4" s="120" t="s">
        <v>467</v>
      </c>
      <c r="G4" s="120" t="s">
        <v>464</v>
      </c>
      <c r="H4" s="120" t="s">
        <v>465</v>
      </c>
      <c r="I4" s="175">
        <v>1178100</v>
      </c>
      <c r="J4" s="120" t="s">
        <v>83</v>
      </c>
      <c r="K4" s="120" t="s">
        <v>84</v>
      </c>
      <c r="L4" s="120"/>
      <c r="M4" s="124">
        <f t="shared" si="0"/>
        <v>990000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472</v>
      </c>
      <c r="D7" s="93"/>
      <c r="E7" s="125"/>
      <c r="F7" s="93"/>
      <c r="G7" s="93"/>
      <c r="H7" s="93"/>
    </row>
    <row r="8" spans="1:13" x14ac:dyDescent="0.25">
      <c r="C8" s="125" t="s">
        <v>471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 t="str">
        <f>+E2</f>
        <v>249165947</v>
      </c>
      <c r="E10" s="176" t="s">
        <v>470</v>
      </c>
      <c r="F10" s="129">
        <f>+M2</f>
        <v>1237500</v>
      </c>
      <c r="G10" s="189">
        <f>+M2</f>
        <v>1237500</v>
      </c>
      <c r="H10" s="130">
        <f>+G10-F10</f>
        <v>0</v>
      </c>
    </row>
    <row r="11" spans="1:13" x14ac:dyDescent="0.25">
      <c r="C11" s="121">
        <v>0.08</v>
      </c>
      <c r="D11" s="127" t="str">
        <f>+E4</f>
        <v>249167169</v>
      </c>
      <c r="E11" s="176" t="s">
        <v>470</v>
      </c>
      <c r="F11" s="129">
        <f>+M4</f>
        <v>990000</v>
      </c>
      <c r="G11" s="130">
        <f>+M4</f>
        <v>990000</v>
      </c>
      <c r="H11" s="130">
        <f>+G11-F11</f>
        <v>0</v>
      </c>
    </row>
    <row r="12" spans="1:13" x14ac:dyDescent="0.25">
      <c r="C12" s="121">
        <v>0.04</v>
      </c>
      <c r="D12" s="127" t="str">
        <f>+E3</f>
        <v>249166660</v>
      </c>
      <c r="E12" s="176" t="s">
        <v>470</v>
      </c>
      <c r="F12" s="129">
        <f>+M3</f>
        <v>495000</v>
      </c>
      <c r="G12" s="130">
        <f>+M3</f>
        <v>495000</v>
      </c>
      <c r="H12" s="130">
        <f t="shared" ref="H12" si="1">+G12-F12</f>
        <v>0</v>
      </c>
    </row>
    <row r="13" spans="1:13" x14ac:dyDescent="0.25">
      <c r="C13" s="133" t="s">
        <v>91</v>
      </c>
      <c r="D13" s="133"/>
      <c r="E13" s="133"/>
      <c r="F13" s="134">
        <f>+SUM(F10:F12)</f>
        <v>2722500</v>
      </c>
      <c r="G13" s="134">
        <f>+SUM(G10:G12)</f>
        <v>2722500</v>
      </c>
      <c r="H13" s="134">
        <f>+SUM(H10:H12)</f>
        <v>0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0</v>
      </c>
      <c r="H14" s="13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4511-FB32-42FC-8EDE-E4EF68EAE665}">
  <dimension ref="A1:M14"/>
  <sheetViews>
    <sheetView workbookViewId="0">
      <selection activeCell="E10" sqref="E10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449</v>
      </c>
      <c r="F2" s="120" t="s">
        <v>450</v>
      </c>
      <c r="G2" s="120" t="s">
        <v>451</v>
      </c>
      <c r="H2" s="120" t="s">
        <v>452</v>
      </c>
      <c r="I2" s="200">
        <v>1325363</v>
      </c>
      <c r="J2" s="120" t="s">
        <v>83</v>
      </c>
      <c r="K2" s="120" t="s">
        <v>84</v>
      </c>
      <c r="L2" s="120" t="s">
        <v>453</v>
      </c>
      <c r="M2" s="124">
        <f t="shared" ref="M2:M4" si="0">+I2/1.19</f>
        <v>1113750.4201680673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454</v>
      </c>
      <c r="F3" s="120" t="s">
        <v>455</v>
      </c>
      <c r="G3" s="120" t="s">
        <v>451</v>
      </c>
      <c r="H3" s="120" t="s">
        <v>452</v>
      </c>
      <c r="I3" s="200">
        <v>530145</v>
      </c>
      <c r="J3" s="120" t="s">
        <v>83</v>
      </c>
      <c r="K3" s="120" t="s">
        <v>84</v>
      </c>
      <c r="L3" s="120" t="s">
        <v>456</v>
      </c>
      <c r="M3" s="124">
        <f t="shared" si="0"/>
        <v>445500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457</v>
      </c>
      <c r="F4" s="120" t="s">
        <v>458</v>
      </c>
      <c r="G4" s="120" t="s">
        <v>451</v>
      </c>
      <c r="H4" s="120" t="s">
        <v>452</v>
      </c>
      <c r="I4" s="200">
        <v>1060290</v>
      </c>
      <c r="J4" s="120" t="s">
        <v>83</v>
      </c>
      <c r="K4" s="120" t="s">
        <v>84</v>
      </c>
      <c r="L4" s="120" t="s">
        <v>459</v>
      </c>
      <c r="M4" s="124">
        <f t="shared" si="0"/>
        <v>891000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448</v>
      </c>
      <c r="D7" s="93"/>
      <c r="E7" s="125"/>
      <c r="F7" s="93"/>
      <c r="G7" s="93"/>
      <c r="H7" s="93"/>
    </row>
    <row r="8" spans="1:13" x14ac:dyDescent="0.25">
      <c r="C8" s="125" t="s">
        <v>460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20129341</v>
      </c>
      <c r="E10" s="176" t="s">
        <v>461</v>
      </c>
      <c r="F10" s="129">
        <f>+M2</f>
        <v>1113750.4201680673</v>
      </c>
      <c r="G10" s="189">
        <f>+M2</f>
        <v>1113750.4201680673</v>
      </c>
      <c r="H10" s="130">
        <f>+G10-F10</f>
        <v>0</v>
      </c>
    </row>
    <row r="11" spans="1:13" x14ac:dyDescent="0.25">
      <c r="C11" s="121">
        <v>0.08</v>
      </c>
      <c r="D11" s="127">
        <v>20130008</v>
      </c>
      <c r="E11" s="176" t="s">
        <v>461</v>
      </c>
      <c r="F11" s="129">
        <f>+M4</f>
        <v>891000</v>
      </c>
      <c r="G11" s="130">
        <f>+M4</f>
        <v>891000</v>
      </c>
      <c r="H11" s="130">
        <f>+G11-F11</f>
        <v>0</v>
      </c>
    </row>
    <row r="12" spans="1:13" x14ac:dyDescent="0.25">
      <c r="C12" s="121">
        <v>0.04</v>
      </c>
      <c r="D12" s="127">
        <v>20130237</v>
      </c>
      <c r="E12" s="176" t="s">
        <v>461</v>
      </c>
      <c r="F12" s="129">
        <f>+M3</f>
        <v>445500</v>
      </c>
      <c r="G12" s="130">
        <f>+M3</f>
        <v>445500</v>
      </c>
      <c r="H12" s="130">
        <f t="shared" ref="H12" si="1">+G12-F12</f>
        <v>0</v>
      </c>
    </row>
    <row r="13" spans="1:13" x14ac:dyDescent="0.25">
      <c r="C13" s="133" t="s">
        <v>91</v>
      </c>
      <c r="D13" s="133"/>
      <c r="E13" s="133"/>
      <c r="F13" s="134">
        <f>+SUM(F10:F12)</f>
        <v>2450250.4201680673</v>
      </c>
      <c r="G13" s="134">
        <f>+SUM(G10:G12)</f>
        <v>2450250.4201680673</v>
      </c>
      <c r="H13" s="134">
        <f>+SUM(H10:H12)</f>
        <v>0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0</v>
      </c>
      <c r="H14" s="13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AB86-C5E3-48EE-962D-BF44DAA33463}">
  <dimension ref="A1:M14"/>
  <sheetViews>
    <sheetView workbookViewId="0">
      <selection activeCell="H3" sqref="H3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435</v>
      </c>
      <c r="F2" s="120" t="s">
        <v>436</v>
      </c>
      <c r="G2" s="120" t="s">
        <v>437</v>
      </c>
      <c r="H2" s="120" t="s">
        <v>438</v>
      </c>
      <c r="I2" s="122">
        <v>9026390</v>
      </c>
      <c r="J2" s="120" t="s">
        <v>83</v>
      </c>
      <c r="K2" s="120" t="s">
        <v>84</v>
      </c>
      <c r="L2" s="120" t="s">
        <v>439</v>
      </c>
      <c r="M2" s="124">
        <f t="shared" ref="M2:M4" si="0">+I2/1.19</f>
        <v>7585201.6806722693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440</v>
      </c>
      <c r="F3" s="120" t="s">
        <v>441</v>
      </c>
      <c r="G3" s="120" t="s">
        <v>437</v>
      </c>
      <c r="H3" s="120" t="s">
        <v>438</v>
      </c>
      <c r="I3" s="122">
        <v>3610556</v>
      </c>
      <c r="J3" s="120" t="s">
        <v>83</v>
      </c>
      <c r="K3" s="120" t="s">
        <v>84</v>
      </c>
      <c r="L3" s="120" t="s">
        <v>442</v>
      </c>
      <c r="M3" s="124">
        <f t="shared" si="0"/>
        <v>3034080.6722689075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443</v>
      </c>
      <c r="F4" s="120" t="s">
        <v>444</v>
      </c>
      <c r="G4" s="120" t="s">
        <v>437</v>
      </c>
      <c r="H4" s="120" t="s">
        <v>438</v>
      </c>
      <c r="I4" s="122">
        <v>7221112</v>
      </c>
      <c r="J4" s="120" t="s">
        <v>83</v>
      </c>
      <c r="K4" s="120" t="s">
        <v>84</v>
      </c>
      <c r="L4" s="120" t="s">
        <v>445</v>
      </c>
      <c r="M4" s="124">
        <f t="shared" si="0"/>
        <v>6068161.3445378151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434</v>
      </c>
      <c r="D7" s="93"/>
      <c r="E7" s="125"/>
      <c r="F7" s="93"/>
      <c r="G7" s="93"/>
      <c r="H7" s="93"/>
    </row>
    <row r="8" spans="1:13" x14ac:dyDescent="0.25">
      <c r="C8" s="125" t="s">
        <v>446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20124984</v>
      </c>
      <c r="E10" s="176" t="s">
        <v>447</v>
      </c>
      <c r="F10" s="129">
        <f>+M2</f>
        <v>7585201.6806722693</v>
      </c>
      <c r="G10" s="189">
        <f>+'CTA CORRIENTE'!H145+'CTA CORRIENTE'!H149+'CTA CORRIENTE'!H153+'CTA CORRIENTE'!H157+'CTA CORRIENTE'!H162</f>
        <v>7585202</v>
      </c>
      <c r="H10" s="130">
        <f>+G10-F10</f>
        <v>0.31932773068547249</v>
      </c>
    </row>
    <row r="11" spans="1:13" x14ac:dyDescent="0.25">
      <c r="C11" s="121">
        <v>0.08</v>
      </c>
      <c r="D11" s="127">
        <v>20126210</v>
      </c>
      <c r="E11" s="176" t="str">
        <f>+E10</f>
        <v>F1074-77-84-85-86</v>
      </c>
      <c r="F11" s="129">
        <f>+M4</f>
        <v>6068161.3445378151</v>
      </c>
      <c r="G11" s="130">
        <f>+'CTA CORRIENTE'!H146+'CTA CORRIENTE'!H150+'CTA CORRIENTE'!H154+'CTA CORRIENTE'!H158+'CTA CORRIENTE'!H163</f>
        <v>6068161.5999999996</v>
      </c>
      <c r="H11" s="130">
        <f>+G11-F11</f>
        <v>0.25546218454837799</v>
      </c>
    </row>
    <row r="12" spans="1:13" x14ac:dyDescent="0.25">
      <c r="C12" s="121">
        <v>0.04</v>
      </c>
      <c r="D12" s="127">
        <v>20125737</v>
      </c>
      <c r="E12" s="176" t="str">
        <f>+E11</f>
        <v>F1074-77-84-85-86</v>
      </c>
      <c r="F12" s="129">
        <f>+M3</f>
        <v>3034080.6722689075</v>
      </c>
      <c r="G12" s="130">
        <f>+'CTA CORRIENTE'!H147+'CTA CORRIENTE'!H151+'CTA CORRIENTE'!H155+'CTA CORRIENTE'!H159+'CTA CORRIENTE'!H164</f>
        <v>3034080.8</v>
      </c>
      <c r="H12" s="130">
        <f t="shared" ref="H12" si="1">+G12-F12</f>
        <v>0.127731092274189</v>
      </c>
    </row>
    <row r="13" spans="1:13" x14ac:dyDescent="0.25">
      <c r="C13" s="133" t="s">
        <v>91</v>
      </c>
      <c r="D13" s="133"/>
      <c r="E13" s="133"/>
      <c r="F13" s="134">
        <f>+SUM(F10:F12)</f>
        <v>16687443.697478991</v>
      </c>
      <c r="G13" s="134">
        <f>+SUM(G10:G12)</f>
        <v>16687444.399999999</v>
      </c>
      <c r="H13" s="134">
        <f>+SUM(H10:H12)</f>
        <v>0.70252100750803947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-0.70252100750803947</v>
      </c>
      <c r="H14" s="1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42255-8F61-46BF-9340-6A85A0B51DA5}">
  <sheetPr>
    <tabColor theme="4" tint="0.59999389629810485"/>
  </sheetPr>
  <dimension ref="B1:J16"/>
  <sheetViews>
    <sheetView zoomScale="85" zoomScaleNormal="85" workbookViewId="0">
      <selection activeCell="A5" sqref="A5:XFD5"/>
    </sheetView>
  </sheetViews>
  <sheetFormatPr baseColWidth="10" defaultRowHeight="15" x14ac:dyDescent="0.25"/>
  <cols>
    <col min="1" max="1" width="2.85546875" customWidth="1"/>
    <col min="2" max="2" width="14.42578125" customWidth="1"/>
    <col min="3" max="3" width="10.140625" bestFit="1" customWidth="1"/>
    <col min="4" max="4" width="9.7109375" bestFit="1" customWidth="1"/>
    <col min="5" max="5" width="16.5703125" bestFit="1" customWidth="1"/>
    <col min="6" max="6" width="13.85546875" bestFit="1" customWidth="1"/>
    <col min="7" max="7" width="12.5703125" bestFit="1" customWidth="1"/>
    <col min="8" max="8" width="11.42578125" bestFit="1" customWidth="1"/>
    <col min="9" max="9" width="18.85546875" bestFit="1" customWidth="1"/>
    <col min="10" max="10" width="19.85546875" bestFit="1" customWidth="1"/>
  </cols>
  <sheetData>
    <row r="1" spans="2:10" ht="18.75" x14ac:dyDescent="0.3">
      <c r="B1" s="100" t="s">
        <v>112</v>
      </c>
      <c r="C1" s="2"/>
      <c r="D1" s="2"/>
    </row>
    <row r="2" spans="2:10" x14ac:dyDescent="0.25">
      <c r="B2" s="8"/>
      <c r="C2" s="8"/>
      <c r="D2" s="8"/>
      <c r="E2" s="8"/>
      <c r="F2" s="8"/>
      <c r="G2" s="8"/>
      <c r="H2" s="184">
        <v>1.6</v>
      </c>
      <c r="I2" s="8"/>
      <c r="J2" s="8"/>
    </row>
    <row r="3" spans="2:10" s="108" customFormat="1" ht="15.75" x14ac:dyDescent="0.25">
      <c r="B3" s="98" t="s">
        <v>104</v>
      </c>
      <c r="C3" s="98" t="s">
        <v>107</v>
      </c>
      <c r="D3" s="98" t="s">
        <v>102</v>
      </c>
      <c r="E3" s="98" t="s">
        <v>108</v>
      </c>
      <c r="F3" s="98" t="s">
        <v>111</v>
      </c>
      <c r="G3" s="118" t="s">
        <v>110</v>
      </c>
      <c r="H3" s="118" t="s">
        <v>105</v>
      </c>
      <c r="I3" s="98" t="s">
        <v>109</v>
      </c>
      <c r="J3" s="118" t="s">
        <v>113</v>
      </c>
    </row>
    <row r="4" spans="2:10" s="104" customFormat="1" ht="20.100000000000001" customHeight="1" x14ac:dyDescent="0.25">
      <c r="B4" s="101" t="s">
        <v>106</v>
      </c>
      <c r="C4" s="114">
        <v>45197</v>
      </c>
      <c r="D4" s="109">
        <v>36195.11</v>
      </c>
      <c r="E4" s="202">
        <f>+'Confirming 1_28.09'!O21</f>
        <v>15958203</v>
      </c>
      <c r="F4" s="102">
        <f>+G4/E4</f>
        <v>7.8466666666666667E-3</v>
      </c>
      <c r="G4" s="202">
        <f>+'Confirming 1_28.09'!Y21</f>
        <v>125218.69954</v>
      </c>
      <c r="H4" s="103">
        <f>+$H$2*D4*1.19</f>
        <v>68915.489440000005</v>
      </c>
      <c r="I4" s="103">
        <f>+E4-G4-H4</f>
        <v>15764068.81102</v>
      </c>
      <c r="J4" s="103">
        <f>+E4-I4</f>
        <v>194134.18898000009</v>
      </c>
    </row>
    <row r="5" spans="2:10" s="104" customFormat="1" ht="20.100000000000001" customHeight="1" x14ac:dyDescent="0.25">
      <c r="B5" s="104" t="s">
        <v>114</v>
      </c>
      <c r="C5" s="159">
        <v>45204</v>
      </c>
      <c r="D5" s="160">
        <v>36203.56</v>
      </c>
      <c r="E5" s="163">
        <f>+'Confirming 2_05.10'!P24</f>
        <v>63660944</v>
      </c>
      <c r="F5" s="164">
        <f t="shared" ref="F5:F15" si="0">+G5/E5</f>
        <v>7.6542213710602009E-3</v>
      </c>
      <c r="G5" s="163">
        <f>+'Confirming 2_05.10'!Y24</f>
        <v>487274.95806666667</v>
      </c>
      <c r="H5" s="165">
        <f t="shared" ref="H5:H14" si="1">+$H$2*D5*1.19</f>
        <v>68931.578239999988</v>
      </c>
      <c r="I5" s="165">
        <f t="shared" ref="I5:I14" si="2">+E5-G5-H5</f>
        <v>63104737.463693336</v>
      </c>
      <c r="J5" s="105">
        <f t="shared" ref="J5:J14" si="3">+E5-I5</f>
        <v>556206.53630666435</v>
      </c>
    </row>
    <row r="6" spans="2:10" s="104" customFormat="1" ht="20.100000000000001" customHeight="1" x14ac:dyDescent="0.25">
      <c r="B6" s="104" t="s">
        <v>115</v>
      </c>
      <c r="C6" s="159">
        <v>45210</v>
      </c>
      <c r="D6" s="160">
        <v>36224.68</v>
      </c>
      <c r="E6" s="111">
        <f>+'Confirming 3_11.10'!O24</f>
        <v>42386995</v>
      </c>
      <c r="F6" s="116">
        <f t="shared" si="0"/>
        <v>7.3796819502459816E-3</v>
      </c>
      <c r="G6" s="111">
        <f>+'Confirming 3_11.10'!Y24</f>
        <v>312802.54192666669</v>
      </c>
      <c r="H6" s="105">
        <f t="shared" si="1"/>
        <v>68971.790720000005</v>
      </c>
      <c r="I6" s="105">
        <f t="shared" si="2"/>
        <v>42005220.667353332</v>
      </c>
      <c r="J6" s="105">
        <f t="shared" si="3"/>
        <v>381774.33264666796</v>
      </c>
    </row>
    <row r="7" spans="2:10" s="104" customFormat="1" ht="20.100000000000001" customHeight="1" x14ac:dyDescent="0.25">
      <c r="B7" s="104" t="s">
        <v>116</v>
      </c>
      <c r="C7" s="159">
        <v>45217</v>
      </c>
      <c r="D7" s="160">
        <v>36281.78</v>
      </c>
      <c r="E7" s="111">
        <f>+'Confirming 4_18.10'!O21</f>
        <v>90438524</v>
      </c>
      <c r="F7" s="116">
        <f t="shared" si="0"/>
        <v>7.5310975956440866E-3</v>
      </c>
      <c r="G7" s="111">
        <f>+'Confirming 4_18.10'!Y24</f>
        <v>681101.35065000004</v>
      </c>
      <c r="H7" s="105">
        <f t="shared" si="1"/>
        <v>69080.509119999988</v>
      </c>
      <c r="I7" s="105">
        <f t="shared" si="2"/>
        <v>89688342.14023</v>
      </c>
      <c r="J7" s="105">
        <f t="shared" si="3"/>
        <v>750181.85976999998</v>
      </c>
    </row>
    <row r="8" spans="2:10" s="104" customFormat="1" ht="20.100000000000001" customHeight="1" x14ac:dyDescent="0.25">
      <c r="B8" s="104" t="s">
        <v>117</v>
      </c>
      <c r="C8" s="159">
        <v>45245</v>
      </c>
      <c r="D8" s="160">
        <v>36490.959999999999</v>
      </c>
      <c r="E8" s="111">
        <f>+'Confirming 5_15.11'!O46</f>
        <v>88266504</v>
      </c>
      <c r="F8" s="116">
        <f t="shared" si="0"/>
        <v>7.3090549228051454E-3</v>
      </c>
      <c r="G8" s="111">
        <f>+'Confirming 5_15.11'!Y46</f>
        <v>645144.72558000009</v>
      </c>
      <c r="H8" s="105">
        <f t="shared" si="1"/>
        <v>69478.78783999999</v>
      </c>
      <c r="I8" s="105">
        <f t="shared" si="2"/>
        <v>87551880.486579999</v>
      </c>
      <c r="J8" s="105">
        <f t="shared" si="3"/>
        <v>714623.51342000067</v>
      </c>
    </row>
    <row r="9" spans="2:10" s="104" customFormat="1" ht="20.100000000000001" customHeight="1" x14ac:dyDescent="0.25">
      <c r="B9" s="104" t="s">
        <v>118</v>
      </c>
      <c r="C9" s="159">
        <v>45253</v>
      </c>
      <c r="D9" s="160">
        <v>36529.83</v>
      </c>
      <c r="E9" s="111">
        <f>+'Confirming 6_24.11'!O46</f>
        <v>43603144</v>
      </c>
      <c r="F9" s="116">
        <f t="shared" si="0"/>
        <v>7.2129150411722603E-3</v>
      </c>
      <c r="G9" s="111">
        <f>+'Confirming 6_24.11'!Y46</f>
        <v>314505.7732</v>
      </c>
      <c r="H9" s="105">
        <f t="shared" si="1"/>
        <v>69552.796319999994</v>
      </c>
      <c r="I9" s="105">
        <f t="shared" si="2"/>
        <v>43219085.430480003</v>
      </c>
      <c r="J9" s="105">
        <f t="shared" si="3"/>
        <v>384058.56951999664</v>
      </c>
    </row>
    <row r="10" spans="2:10" s="104" customFormat="1" ht="20.100000000000001" customHeight="1" x14ac:dyDescent="0.25">
      <c r="B10" s="104" t="s">
        <v>119</v>
      </c>
      <c r="C10" s="159">
        <v>45259</v>
      </c>
      <c r="D10" s="160">
        <v>36559.01</v>
      </c>
      <c r="E10" s="111">
        <f>+'Confirming 7_29-11'!O46</f>
        <v>50355882</v>
      </c>
      <c r="F10" s="116">
        <f t="shared" si="0"/>
        <v>6.9217167202036108E-3</v>
      </c>
      <c r="G10" s="111">
        <f>+'Confirming 7_29-11'!Y46</f>
        <v>348549.15040000004</v>
      </c>
      <c r="H10" s="105">
        <f t="shared" si="1"/>
        <v>69608.355040000009</v>
      </c>
      <c r="I10" s="105">
        <f t="shared" si="2"/>
        <v>49937724.494560003</v>
      </c>
      <c r="J10" s="105">
        <f t="shared" si="3"/>
        <v>418157.50543999672</v>
      </c>
    </row>
    <row r="11" spans="2:10" s="104" customFormat="1" ht="20.100000000000001" customHeight="1" x14ac:dyDescent="0.25">
      <c r="B11" s="104" t="s">
        <v>120</v>
      </c>
      <c r="C11" s="159">
        <v>45266</v>
      </c>
      <c r="D11" s="160">
        <v>36593.08</v>
      </c>
      <c r="E11" s="111">
        <f>+'Confirming 8_06-12'!O43</f>
        <v>81420880</v>
      </c>
      <c r="F11" s="116">
        <f t="shared" si="0"/>
        <v>6.4546179920924457E-3</v>
      </c>
      <c r="G11" s="111">
        <f>+'Confirming 8_06-12'!Y46</f>
        <v>525540.67697999999</v>
      </c>
      <c r="H11" s="105">
        <f t="shared" si="1"/>
        <v>69673.224320000008</v>
      </c>
      <c r="I11" s="105">
        <f t="shared" si="2"/>
        <v>80825666.098700002</v>
      </c>
      <c r="J11" s="105">
        <f t="shared" si="3"/>
        <v>595213.90129999816</v>
      </c>
    </row>
    <row r="12" spans="2:10" s="104" customFormat="1" ht="20.100000000000001" customHeight="1" x14ac:dyDescent="0.25">
      <c r="B12" s="104" t="s">
        <v>121</v>
      </c>
      <c r="C12" s="159">
        <v>45295</v>
      </c>
      <c r="D12" s="110">
        <v>36822.49</v>
      </c>
      <c r="E12" s="111">
        <f>+'Confirming 9_04-01'!O46</f>
        <v>65416484</v>
      </c>
      <c r="F12" s="116">
        <f t="shared" si="0"/>
        <v>5.3548013481841466E-3</v>
      </c>
      <c r="G12" s="111">
        <f>+'Confirming 9_04-01'!Y46</f>
        <v>350292.27671666665</v>
      </c>
      <c r="H12" s="105">
        <f t="shared" si="1"/>
        <v>70110.020959999994</v>
      </c>
      <c r="I12" s="105">
        <f t="shared" si="2"/>
        <v>64996081.702323332</v>
      </c>
      <c r="J12" s="105">
        <f t="shared" si="3"/>
        <v>420402.29767666757</v>
      </c>
    </row>
    <row r="13" spans="2:10" s="104" customFormat="1" ht="20.100000000000001" customHeight="1" x14ac:dyDescent="0.25">
      <c r="B13" s="104" t="s">
        <v>122</v>
      </c>
      <c r="C13" s="159">
        <v>45301</v>
      </c>
      <c r="D13" s="211">
        <v>36857.980000000003</v>
      </c>
      <c r="E13" s="111">
        <f>+'Confirming 10_10-01'!O46</f>
        <v>35344928</v>
      </c>
      <c r="F13" s="116">
        <f t="shared" si="0"/>
        <v>6.4193162313604555E-3</v>
      </c>
      <c r="G13" s="111">
        <f>+'Confirming 10_10-01'!Y46</f>
        <v>226890.27000666663</v>
      </c>
      <c r="H13" s="105">
        <f t="shared" si="1"/>
        <v>70177.593920000014</v>
      </c>
      <c r="I13" s="105">
        <f t="shared" si="2"/>
        <v>35047860.136073336</v>
      </c>
      <c r="J13" s="105">
        <f t="shared" si="3"/>
        <v>297067.86392666399</v>
      </c>
    </row>
    <row r="14" spans="2:10" s="104" customFormat="1" ht="20.100000000000001" customHeight="1" x14ac:dyDescent="0.25">
      <c r="B14" s="104" t="s">
        <v>123</v>
      </c>
      <c r="C14" s="110"/>
      <c r="D14" s="110"/>
      <c r="E14" s="111"/>
      <c r="F14" s="116" t="e">
        <f t="shared" si="0"/>
        <v>#DIV/0!</v>
      </c>
      <c r="G14" s="111"/>
      <c r="H14" s="105">
        <f t="shared" si="1"/>
        <v>0</v>
      </c>
      <c r="I14" s="105">
        <f t="shared" si="2"/>
        <v>0</v>
      </c>
      <c r="J14" s="105">
        <f t="shared" si="3"/>
        <v>0</v>
      </c>
    </row>
    <row r="15" spans="2:10" s="104" customFormat="1" ht="20.100000000000001" customHeight="1" x14ac:dyDescent="0.25">
      <c r="B15" s="106" t="s">
        <v>124</v>
      </c>
      <c r="C15" s="112"/>
      <c r="D15" s="112"/>
      <c r="E15" s="113"/>
      <c r="F15" s="115" t="e">
        <f t="shared" si="0"/>
        <v>#DIV/0!</v>
      </c>
      <c r="G15" s="113"/>
      <c r="H15" s="107"/>
      <c r="I15" s="107"/>
      <c r="J15" s="107"/>
    </row>
    <row r="16" spans="2:10" s="19" customFormat="1" ht="12.75" x14ac:dyDescent="0.2">
      <c r="B16" s="173"/>
      <c r="C16" s="173"/>
      <c r="D16" s="173"/>
      <c r="E16" s="174">
        <f>+SUM(E4:E15)</f>
        <v>576852488</v>
      </c>
      <c r="F16" s="173"/>
      <c r="G16" s="174">
        <f>+SUM(G4:G15)</f>
        <v>4017320.4230666673</v>
      </c>
      <c r="H16" s="174">
        <f>+SUM(H4:H15)</f>
        <v>694500.14591999992</v>
      </c>
      <c r="I16" s="174">
        <f t="shared" ref="I16:J16" si="4">+SUM(I4:I15)</f>
        <v>572140667.43101335</v>
      </c>
      <c r="J16" s="185">
        <f t="shared" si="4"/>
        <v>4711820.5689866561</v>
      </c>
    </row>
  </sheetData>
  <phoneticPr fontId="30" type="noConversion"/>
  <pageMargins left="0.7" right="0.7" top="0.75" bottom="0.75" header="0.3" footer="0.3"/>
  <ignoredErrors>
    <ignoredError sqref="F5:F15" evalErro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E39D-8E61-43B8-B489-411FC16FB4CE}">
  <sheetPr>
    <tabColor theme="9" tint="-0.249977111117893"/>
  </sheetPr>
  <dimension ref="C2:AD53"/>
  <sheetViews>
    <sheetView zoomScaleNormal="100" workbookViewId="0">
      <selection activeCell="C18" sqref="C18:D18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81420880</v>
      </c>
      <c r="I4" s="60"/>
      <c r="J4" s="59" t="s">
        <v>36</v>
      </c>
      <c r="K4" s="62">
        <v>69673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525541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418</v>
      </c>
      <c r="E6" s="64"/>
      <c r="F6" s="63"/>
      <c r="G6" s="63" t="s">
        <v>46</v>
      </c>
      <c r="H6" s="66">
        <v>80895339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906693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80825666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36593.08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418</v>
      </c>
      <c r="H10" s="76">
        <v>1230767524</v>
      </c>
      <c r="I10" s="247" t="s">
        <v>68</v>
      </c>
      <c r="J10" s="249"/>
      <c r="K10" s="78" t="s">
        <v>419</v>
      </c>
      <c r="L10" s="248" t="s">
        <v>403</v>
      </c>
      <c r="M10" s="249"/>
      <c r="N10" s="77" t="s">
        <v>212</v>
      </c>
      <c r="O10" s="76">
        <v>-71048</v>
      </c>
      <c r="P10" s="76">
        <v>-71048</v>
      </c>
      <c r="Q10" s="79" t="s">
        <v>420</v>
      </c>
      <c r="R10" s="76">
        <v>-375.13</v>
      </c>
      <c r="S10" s="76">
        <v>-70673</v>
      </c>
      <c r="T10" s="56"/>
      <c r="U10" s="82">
        <f t="shared" ref="U10:U14" si="0">+R10/P10</f>
        <v>5.2799515820290506E-3</v>
      </c>
      <c r="V10" s="87">
        <f t="shared" ref="V10:V14" si="1">+U10*P10</f>
        <v>-375.13</v>
      </c>
      <c r="W10" s="84">
        <f t="shared" ref="W10:W14" si="2">+P10-V10</f>
        <v>-70672.87</v>
      </c>
      <c r="X10" s="84"/>
      <c r="Y10" s="88">
        <f>+Q10%*(N10/30)*P10</f>
        <v>-375.13343999999995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418</v>
      </c>
      <c r="H11" s="76">
        <v>1230767524</v>
      </c>
      <c r="I11" s="247" t="s">
        <v>68</v>
      </c>
      <c r="J11" s="249"/>
      <c r="K11" s="78" t="s">
        <v>421</v>
      </c>
      <c r="L11" s="248" t="s">
        <v>403</v>
      </c>
      <c r="M11" s="249"/>
      <c r="N11" s="77" t="s">
        <v>212</v>
      </c>
      <c r="O11" s="76">
        <v>-3871319</v>
      </c>
      <c r="P11" s="76">
        <v>-3871319</v>
      </c>
      <c r="Q11" s="79" t="s">
        <v>420</v>
      </c>
      <c r="R11" s="76">
        <v>-20440.560000000001</v>
      </c>
      <c r="S11" s="76">
        <v>-3850878</v>
      </c>
      <c r="T11" s="56"/>
      <c r="U11" s="82">
        <f t="shared" si="0"/>
        <v>5.2799988841012585E-3</v>
      </c>
      <c r="V11" s="87">
        <f t="shared" si="1"/>
        <v>-20440.560000000001</v>
      </c>
      <c r="W11" s="84">
        <f t="shared" si="2"/>
        <v>-3850878.44</v>
      </c>
      <c r="X11" s="84"/>
      <c r="Y11" s="88">
        <f t="shared" ref="Y11:Y44" si="3">+Q11%*(N11/30)*P11</f>
        <v>-20440.564319999998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418</v>
      </c>
      <c r="H12" s="76">
        <v>1230767524</v>
      </c>
      <c r="I12" s="247" t="s">
        <v>68</v>
      </c>
      <c r="J12" s="249"/>
      <c r="K12" s="78" t="s">
        <v>422</v>
      </c>
      <c r="L12" s="248" t="s">
        <v>403</v>
      </c>
      <c r="M12" s="249"/>
      <c r="N12" s="77" t="s">
        <v>212</v>
      </c>
      <c r="O12" s="76">
        <v>-1548527</v>
      </c>
      <c r="P12" s="76">
        <v>-1548527</v>
      </c>
      <c r="Q12" s="79" t="s">
        <v>420</v>
      </c>
      <c r="R12" s="76">
        <v>-8176.22</v>
      </c>
      <c r="S12" s="76">
        <v>-1540351</v>
      </c>
      <c r="T12" s="56"/>
      <c r="U12" s="82">
        <f t="shared" si="0"/>
        <v>5.2799983468160387E-3</v>
      </c>
      <c r="V12" s="87">
        <f t="shared" si="1"/>
        <v>-8176.22</v>
      </c>
      <c r="W12" s="84">
        <f t="shared" si="2"/>
        <v>-1540350.78</v>
      </c>
      <c r="X12" s="83"/>
      <c r="Y12" s="88">
        <f t="shared" si="3"/>
        <v>-8176.2225599999983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418</v>
      </c>
      <c r="H13" s="76">
        <v>1230767524</v>
      </c>
      <c r="I13" s="247" t="s">
        <v>68</v>
      </c>
      <c r="J13" s="249"/>
      <c r="K13" s="78" t="s">
        <v>423</v>
      </c>
      <c r="L13" s="248" t="s">
        <v>403</v>
      </c>
      <c r="M13" s="249"/>
      <c r="N13" s="77" t="s">
        <v>212</v>
      </c>
      <c r="O13" s="76">
        <v>-3097056</v>
      </c>
      <c r="P13" s="76">
        <v>-3097056</v>
      </c>
      <c r="Q13" s="79" t="s">
        <v>420</v>
      </c>
      <c r="R13" s="76">
        <v>-16352.46</v>
      </c>
      <c r="S13" s="76">
        <v>-3080704</v>
      </c>
      <c r="T13" s="56"/>
      <c r="U13" s="82">
        <f t="shared" si="0"/>
        <v>5.280001394873066E-3</v>
      </c>
      <c r="V13" s="87">
        <f t="shared" si="1"/>
        <v>-16352.46</v>
      </c>
      <c r="W13" s="84">
        <f t="shared" si="2"/>
        <v>-3080703.54</v>
      </c>
      <c r="X13" s="83"/>
      <c r="Y13" s="88">
        <f t="shared" si="3"/>
        <v>-16352.455679999997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418</v>
      </c>
      <c r="H14" s="76">
        <v>1230767524</v>
      </c>
      <c r="I14" s="247" t="s">
        <v>68</v>
      </c>
      <c r="J14" s="249"/>
      <c r="K14" s="78" t="s">
        <v>424</v>
      </c>
      <c r="L14" s="248" t="s">
        <v>403</v>
      </c>
      <c r="M14" s="249"/>
      <c r="N14" s="77" t="s">
        <v>212</v>
      </c>
      <c r="O14" s="76">
        <v>-255073</v>
      </c>
      <c r="P14" s="76">
        <v>-255073</v>
      </c>
      <c r="Q14" s="79" t="s">
        <v>420</v>
      </c>
      <c r="R14" s="76">
        <v>-1346.79</v>
      </c>
      <c r="S14" s="76">
        <v>-253726</v>
      </c>
      <c r="T14" s="56"/>
      <c r="U14" s="82">
        <f t="shared" si="0"/>
        <v>5.2800178772351445E-3</v>
      </c>
      <c r="V14" s="87">
        <f t="shared" si="1"/>
        <v>-1346.79</v>
      </c>
      <c r="W14" s="84">
        <f t="shared" si="2"/>
        <v>-253726.21</v>
      </c>
      <c r="X14" s="83"/>
      <c r="Y14" s="88">
        <f t="shared" si="3"/>
        <v>-1346.7854399999999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418</v>
      </c>
      <c r="H15" s="76">
        <v>1230767524</v>
      </c>
      <c r="I15" s="247" t="s">
        <v>69</v>
      </c>
      <c r="J15" s="249"/>
      <c r="K15" s="78" t="s">
        <v>425</v>
      </c>
      <c r="L15" s="248" t="s">
        <v>403</v>
      </c>
      <c r="M15" s="249"/>
      <c r="N15" s="77" t="s">
        <v>212</v>
      </c>
      <c r="O15" s="76">
        <v>34135735</v>
      </c>
      <c r="P15" s="76">
        <v>34135735</v>
      </c>
      <c r="Q15" s="79" t="s">
        <v>420</v>
      </c>
      <c r="R15" s="76">
        <v>180236.68</v>
      </c>
      <c r="S15" s="76">
        <v>33955498</v>
      </c>
      <c r="T15" s="56"/>
      <c r="U15" s="82">
        <f t="shared" ref="U15:U19" si="4">+R15/P15</f>
        <v>5.2799999765641486E-3</v>
      </c>
      <c r="V15" s="87">
        <f t="shared" ref="V15:V19" si="5">+U15*P15</f>
        <v>180236.68</v>
      </c>
      <c r="W15" s="84">
        <f t="shared" ref="W15:W19" si="6">+P15-V15</f>
        <v>33955498.32</v>
      </c>
      <c r="X15" s="83"/>
      <c r="Y15" s="88">
        <f t="shared" si="3"/>
        <v>180236.68079999997</v>
      </c>
      <c r="Z15" s="83"/>
      <c r="AA15" s="56"/>
    </row>
    <row r="16" spans="3:27" s="49" customFormat="1" ht="12.75" x14ac:dyDescent="0.2">
      <c r="C16" s="245" t="s">
        <v>66</v>
      </c>
      <c r="D16" s="243"/>
      <c r="E16" s="246" t="s">
        <v>67</v>
      </c>
      <c r="F16" s="243"/>
      <c r="G16" s="75" t="s">
        <v>418</v>
      </c>
      <c r="H16" s="76">
        <v>1230767524</v>
      </c>
      <c r="I16" s="247" t="s">
        <v>69</v>
      </c>
      <c r="J16" s="243"/>
      <c r="K16" s="78" t="s">
        <v>426</v>
      </c>
      <c r="L16" s="248" t="s">
        <v>403</v>
      </c>
      <c r="M16" s="243"/>
      <c r="N16" s="77" t="s">
        <v>212</v>
      </c>
      <c r="O16" s="76">
        <v>7363125</v>
      </c>
      <c r="P16" s="76">
        <v>7363125</v>
      </c>
      <c r="Q16" s="79" t="s">
        <v>420</v>
      </c>
      <c r="R16" s="76">
        <v>38877.300000000003</v>
      </c>
      <c r="S16" s="76">
        <v>7324248</v>
      </c>
      <c r="T16" s="56"/>
      <c r="U16" s="82">
        <f t="shared" si="4"/>
        <v>5.28E-3</v>
      </c>
      <c r="V16" s="87">
        <f t="shared" si="5"/>
        <v>38877.300000000003</v>
      </c>
      <c r="W16" s="84">
        <f t="shared" si="6"/>
        <v>7324247.7000000002</v>
      </c>
      <c r="X16" s="83"/>
      <c r="Y16" s="88">
        <f t="shared" si="3"/>
        <v>38877.299999999996</v>
      </c>
      <c r="Z16" s="83"/>
      <c r="AA16" s="56"/>
    </row>
    <row r="17" spans="3:27" s="49" customFormat="1" x14ac:dyDescent="0.25">
      <c r="C17" s="245" t="s">
        <v>66</v>
      </c>
      <c r="D17" s="249"/>
      <c r="E17" s="246" t="s">
        <v>67</v>
      </c>
      <c r="F17" s="249"/>
      <c r="G17" s="75" t="s">
        <v>418</v>
      </c>
      <c r="H17" s="76">
        <v>1230767524</v>
      </c>
      <c r="I17" s="247" t="s">
        <v>69</v>
      </c>
      <c r="J17" s="249"/>
      <c r="K17" s="78" t="s">
        <v>427</v>
      </c>
      <c r="L17" s="248" t="s">
        <v>403</v>
      </c>
      <c r="M17" s="249"/>
      <c r="N17" s="77" t="s">
        <v>212</v>
      </c>
      <c r="O17" s="76">
        <v>7363125</v>
      </c>
      <c r="P17" s="76">
        <v>7363125</v>
      </c>
      <c r="Q17" s="79" t="s">
        <v>420</v>
      </c>
      <c r="R17" s="76">
        <v>38877.300000000003</v>
      </c>
      <c r="S17" s="76">
        <v>7324248</v>
      </c>
      <c r="T17" s="56"/>
      <c r="U17" s="82">
        <f t="shared" si="4"/>
        <v>5.28E-3</v>
      </c>
      <c r="V17" s="87">
        <f t="shared" si="5"/>
        <v>38877.300000000003</v>
      </c>
      <c r="W17" s="84">
        <f t="shared" si="6"/>
        <v>7324247.7000000002</v>
      </c>
      <c r="X17" s="83"/>
      <c r="Y17" s="88">
        <f t="shared" si="3"/>
        <v>38877.299999999996</v>
      </c>
      <c r="Z17" s="83"/>
      <c r="AA17" s="56"/>
    </row>
    <row r="18" spans="3:27" s="49" customFormat="1" x14ac:dyDescent="0.25">
      <c r="C18" s="245" t="s">
        <v>66</v>
      </c>
      <c r="D18" s="249"/>
      <c r="E18" s="246" t="s">
        <v>67</v>
      </c>
      <c r="F18" s="249"/>
      <c r="G18" s="75" t="s">
        <v>418</v>
      </c>
      <c r="H18" s="76">
        <v>1230767525</v>
      </c>
      <c r="I18" s="247" t="s">
        <v>69</v>
      </c>
      <c r="J18" s="249"/>
      <c r="K18" s="78" t="s">
        <v>428</v>
      </c>
      <c r="L18" s="248" t="s">
        <v>429</v>
      </c>
      <c r="M18" s="249"/>
      <c r="N18" s="77" t="s">
        <v>198</v>
      </c>
      <c r="O18" s="76">
        <v>34038793</v>
      </c>
      <c r="P18" s="76">
        <v>34038793</v>
      </c>
      <c r="Q18" s="79" t="s">
        <v>420</v>
      </c>
      <c r="R18" s="76">
        <v>258354.44</v>
      </c>
      <c r="S18" s="76">
        <v>33780439</v>
      </c>
      <c r="T18" s="56"/>
      <c r="U18" s="82">
        <f t="shared" si="4"/>
        <v>7.5900000331974166E-3</v>
      </c>
      <c r="V18" s="87">
        <f t="shared" si="5"/>
        <v>258354.44</v>
      </c>
      <c r="W18" s="84">
        <f t="shared" si="6"/>
        <v>33780438.560000002</v>
      </c>
      <c r="X18" s="83"/>
      <c r="Y18" s="88">
        <f t="shared" si="3"/>
        <v>258354.43886999998</v>
      </c>
      <c r="Z18" s="83"/>
      <c r="AA18" s="56"/>
    </row>
    <row r="19" spans="3:27" s="49" customFormat="1" x14ac:dyDescent="0.25">
      <c r="C19" s="245" t="s">
        <v>66</v>
      </c>
      <c r="D19" s="249"/>
      <c r="E19" s="246" t="s">
        <v>67</v>
      </c>
      <c r="F19" s="249"/>
      <c r="G19" s="75" t="s">
        <v>418</v>
      </c>
      <c r="H19" s="76">
        <v>1230767525</v>
      </c>
      <c r="I19" s="247" t="s">
        <v>69</v>
      </c>
      <c r="J19" s="249"/>
      <c r="K19" s="78" t="s">
        <v>430</v>
      </c>
      <c r="L19" s="248" t="s">
        <v>429</v>
      </c>
      <c r="M19" s="249"/>
      <c r="N19" s="77" t="s">
        <v>198</v>
      </c>
      <c r="O19" s="76">
        <v>7363125</v>
      </c>
      <c r="P19" s="76">
        <v>7363125</v>
      </c>
      <c r="Q19" s="79" t="s">
        <v>420</v>
      </c>
      <c r="R19" s="76">
        <v>55886.12</v>
      </c>
      <c r="S19" s="76">
        <v>7307239</v>
      </c>
      <c r="T19" s="56"/>
      <c r="U19" s="82">
        <f t="shared" si="4"/>
        <v>7.5900001697648762E-3</v>
      </c>
      <c r="V19" s="87">
        <f t="shared" si="5"/>
        <v>55886.12</v>
      </c>
      <c r="W19" s="84">
        <f t="shared" si="6"/>
        <v>7307238.8799999999</v>
      </c>
      <c r="X19" s="83"/>
      <c r="Y19" s="88">
        <f t="shared" si="3"/>
        <v>55886.118749999994</v>
      </c>
      <c r="Z19" s="83"/>
      <c r="AA19" s="56"/>
    </row>
    <row r="20" spans="3:27" s="49" customFormat="1" hidden="1" x14ac:dyDescent="0.25">
      <c r="C20" s="245"/>
      <c r="D20" s="249"/>
      <c r="E20" s="246"/>
      <c r="F20" s="249"/>
      <c r="G20" s="75"/>
      <c r="H20" s="76"/>
      <c r="I20" s="247"/>
      <c r="J20" s="249"/>
      <c r="K20" s="78"/>
      <c r="L20" s="248"/>
      <c r="M20" s="249"/>
      <c r="N20" s="77"/>
      <c r="O20" s="76"/>
      <c r="P20" s="76"/>
      <c r="Q20" s="79"/>
      <c r="R20" s="76"/>
      <c r="S20" s="76"/>
      <c r="T20" s="56"/>
      <c r="U20" s="82"/>
      <c r="V20" s="87"/>
      <c r="W20" s="84"/>
      <c r="X20" s="83"/>
      <c r="Y20" s="88">
        <f t="shared" si="3"/>
        <v>0</v>
      </c>
      <c r="Z20" s="83"/>
      <c r="AA20" s="56"/>
    </row>
    <row r="21" spans="3:27" s="49" customFormat="1" hidden="1" x14ac:dyDescent="0.25">
      <c r="C21" s="245"/>
      <c r="D21" s="249"/>
      <c r="E21" s="246"/>
      <c r="F21" s="249"/>
      <c r="G21" s="75"/>
      <c r="H21" s="76"/>
      <c r="I21" s="247"/>
      <c r="J21" s="249"/>
      <c r="K21" s="78"/>
      <c r="L21" s="248"/>
      <c r="M21" s="249"/>
      <c r="N21" s="77"/>
      <c r="O21" s="76"/>
      <c r="P21" s="76"/>
      <c r="Q21" s="79"/>
      <c r="R21" s="76"/>
      <c r="S21" s="76"/>
      <c r="T21" s="56"/>
      <c r="U21" s="82"/>
      <c r="V21" s="87"/>
      <c r="W21" s="84"/>
      <c r="X21" s="83"/>
      <c r="Y21" s="88">
        <f t="shared" si="3"/>
        <v>0</v>
      </c>
      <c r="Z21" s="83"/>
      <c r="AA21" s="56"/>
    </row>
    <row r="22" spans="3:27" s="49" customFormat="1" hidden="1" x14ac:dyDescent="0.25">
      <c r="C22" s="245"/>
      <c r="D22" s="249"/>
      <c r="E22" s="246"/>
      <c r="F22" s="249"/>
      <c r="G22" s="75"/>
      <c r="H22" s="76"/>
      <c r="I22" s="247"/>
      <c r="J22" s="249"/>
      <c r="K22" s="78"/>
      <c r="L22" s="248"/>
      <c r="M22" s="249"/>
      <c r="N22" s="77"/>
      <c r="O22" s="76"/>
      <c r="P22" s="76"/>
      <c r="Q22" s="79"/>
      <c r="R22" s="76"/>
      <c r="S22" s="76"/>
      <c r="T22" s="56"/>
      <c r="U22" s="82"/>
      <c r="V22" s="87"/>
      <c r="W22" s="84"/>
      <c r="X22" s="83"/>
      <c r="Y22" s="88">
        <f t="shared" si="3"/>
        <v>0</v>
      </c>
      <c r="Z22" s="83"/>
      <c r="AA22" s="56"/>
    </row>
    <row r="23" spans="3:27" s="49" customFormat="1" hidden="1" x14ac:dyDescent="0.25">
      <c r="C23" s="245"/>
      <c r="D23" s="249"/>
      <c r="E23" s="246"/>
      <c r="F23" s="249"/>
      <c r="G23" s="75"/>
      <c r="H23" s="76"/>
      <c r="I23" s="247"/>
      <c r="J23" s="249"/>
      <c r="K23" s="78"/>
      <c r="L23" s="248"/>
      <c r="M23" s="249"/>
      <c r="N23" s="77"/>
      <c r="O23" s="76"/>
      <c r="P23" s="76"/>
      <c r="Q23" s="79"/>
      <c r="R23" s="76"/>
      <c r="S23" s="76"/>
      <c r="T23" s="56"/>
      <c r="U23" s="82"/>
      <c r="V23" s="87"/>
      <c r="W23" s="84"/>
      <c r="X23" s="83"/>
      <c r="Y23" s="88">
        <f t="shared" si="3"/>
        <v>0</v>
      </c>
      <c r="Z23" s="83"/>
      <c r="AA23" s="56"/>
    </row>
    <row r="24" spans="3:27" s="49" customFormat="1" hidden="1" x14ac:dyDescent="0.25">
      <c r="C24" s="245"/>
      <c r="D24" s="249"/>
      <c r="E24" s="246"/>
      <c r="F24" s="249"/>
      <c r="G24" s="75"/>
      <c r="H24" s="76"/>
      <c r="I24" s="247"/>
      <c r="J24" s="249"/>
      <c r="K24" s="78"/>
      <c r="L24" s="248"/>
      <c r="M24" s="249"/>
      <c r="N24" s="77"/>
      <c r="O24" s="76"/>
      <c r="P24" s="76"/>
      <c r="Q24" s="79"/>
      <c r="R24" s="76"/>
      <c r="S24" s="76"/>
      <c r="T24" s="56"/>
      <c r="U24" s="82"/>
      <c r="V24" s="87"/>
      <c r="W24" s="84"/>
      <c r="X24" s="83"/>
      <c r="Y24" s="88">
        <f t="shared" si="3"/>
        <v>0</v>
      </c>
      <c r="Z24" s="83"/>
      <c r="AA24" s="56"/>
    </row>
    <row r="25" spans="3:27" s="49" customFormat="1" hidden="1" x14ac:dyDescent="0.25">
      <c r="C25" s="245"/>
      <c r="D25" s="249"/>
      <c r="E25" s="246"/>
      <c r="F25" s="249"/>
      <c r="G25" s="75"/>
      <c r="H25" s="76"/>
      <c r="I25" s="247"/>
      <c r="J25" s="249"/>
      <c r="K25" s="78"/>
      <c r="L25" s="248"/>
      <c r="M25" s="249"/>
      <c r="N25" s="77"/>
      <c r="O25" s="76"/>
      <c r="P25" s="76"/>
      <c r="Q25" s="79"/>
      <c r="R25" s="76"/>
      <c r="S25" s="76"/>
      <c r="T25" s="56"/>
      <c r="U25" s="82"/>
      <c r="V25" s="87"/>
      <c r="W25" s="84"/>
      <c r="X25" s="83"/>
      <c r="Y25" s="88">
        <f t="shared" si="3"/>
        <v>0</v>
      </c>
      <c r="Z25" s="83"/>
      <c r="AA25" s="56"/>
    </row>
    <row r="26" spans="3:27" s="49" customFormat="1" hidden="1" x14ac:dyDescent="0.25">
      <c r="C26" s="245"/>
      <c r="D26" s="249"/>
      <c r="E26" s="246"/>
      <c r="F26" s="249"/>
      <c r="G26" s="75"/>
      <c r="H26" s="76"/>
      <c r="I26" s="247"/>
      <c r="J26" s="249"/>
      <c r="K26" s="78"/>
      <c r="L26" s="248"/>
      <c r="M26" s="249"/>
      <c r="N26" s="77"/>
      <c r="O26" s="76"/>
      <c r="P26" s="76"/>
      <c r="Q26" s="79"/>
      <c r="R26" s="76"/>
      <c r="S26" s="76"/>
      <c r="T26" s="56"/>
      <c r="U26" s="82"/>
      <c r="V26" s="87"/>
      <c r="W26" s="84"/>
      <c r="X26" s="83"/>
      <c r="Y26" s="88">
        <f t="shared" si="3"/>
        <v>0</v>
      </c>
      <c r="Z26" s="83"/>
      <c r="AA26" s="56"/>
    </row>
    <row r="27" spans="3:27" s="49" customFormat="1" hidden="1" x14ac:dyDescent="0.25">
      <c r="C27" s="245"/>
      <c r="D27" s="249"/>
      <c r="E27" s="246"/>
      <c r="F27" s="249"/>
      <c r="G27" s="75"/>
      <c r="H27" s="76"/>
      <c r="I27" s="247"/>
      <c r="J27" s="249"/>
      <c r="K27" s="78"/>
      <c r="L27" s="248"/>
      <c r="M27" s="249"/>
      <c r="N27" s="77"/>
      <c r="O27" s="76"/>
      <c r="P27" s="76"/>
      <c r="Q27" s="79"/>
      <c r="R27" s="76"/>
      <c r="S27" s="76"/>
      <c r="T27" s="56"/>
      <c r="U27" s="82"/>
      <c r="V27" s="87"/>
      <c r="W27" s="84"/>
      <c r="X27" s="83"/>
      <c r="Y27" s="88">
        <f t="shared" si="3"/>
        <v>0</v>
      </c>
      <c r="Z27" s="83"/>
      <c r="AA27" s="56"/>
    </row>
    <row r="28" spans="3:27" s="49" customFormat="1" hidden="1" x14ac:dyDescent="0.25">
      <c r="C28" s="245"/>
      <c r="D28" s="249"/>
      <c r="E28" s="246"/>
      <c r="F28" s="249"/>
      <c r="G28" s="75"/>
      <c r="H28" s="76"/>
      <c r="I28" s="247"/>
      <c r="J28" s="249"/>
      <c r="K28" s="78"/>
      <c r="L28" s="248"/>
      <c r="M28" s="249"/>
      <c r="N28" s="77"/>
      <c r="O28" s="76"/>
      <c r="P28" s="76"/>
      <c r="Q28" s="79"/>
      <c r="R28" s="76"/>
      <c r="S28" s="76"/>
      <c r="T28" s="56"/>
      <c r="U28" s="82"/>
      <c r="V28" s="87"/>
      <c r="W28" s="84"/>
      <c r="X28" s="83"/>
      <c r="Y28" s="88">
        <f t="shared" si="3"/>
        <v>0</v>
      </c>
      <c r="Z28" s="83"/>
      <c r="AA28" s="56"/>
    </row>
    <row r="29" spans="3:27" s="49" customFormat="1" hidden="1" x14ac:dyDescent="0.25">
      <c r="C29" s="245"/>
      <c r="D29" s="249"/>
      <c r="E29" s="246"/>
      <c r="F29" s="249"/>
      <c r="G29" s="75"/>
      <c r="H29" s="76"/>
      <c r="I29" s="247"/>
      <c r="J29" s="249"/>
      <c r="K29" s="78"/>
      <c r="L29" s="248"/>
      <c r="M29" s="249"/>
      <c r="N29" s="77"/>
      <c r="O29" s="76"/>
      <c r="P29" s="76"/>
      <c r="Q29" s="79"/>
      <c r="R29" s="76"/>
      <c r="S29" s="76"/>
      <c r="T29" s="56"/>
      <c r="U29" s="82"/>
      <c r="V29" s="87"/>
      <c r="W29" s="84"/>
      <c r="X29" s="83"/>
      <c r="Y29" s="88">
        <f t="shared" si="3"/>
        <v>0</v>
      </c>
      <c r="Z29" s="83"/>
      <c r="AA29" s="56"/>
    </row>
    <row r="30" spans="3:27" s="49" customFormat="1" hidden="1" x14ac:dyDescent="0.25">
      <c r="C30" s="245"/>
      <c r="D30" s="249"/>
      <c r="E30" s="246"/>
      <c r="F30" s="249"/>
      <c r="G30" s="75"/>
      <c r="H30" s="76"/>
      <c r="I30" s="247"/>
      <c r="J30" s="249"/>
      <c r="K30" s="78"/>
      <c r="L30" s="248"/>
      <c r="M30" s="249"/>
      <c r="N30" s="77"/>
      <c r="O30" s="76"/>
      <c r="P30" s="76"/>
      <c r="Q30" s="79"/>
      <c r="R30" s="76"/>
      <c r="S30" s="76"/>
      <c r="T30" s="56"/>
      <c r="U30" s="82"/>
      <c r="V30" s="87"/>
      <c r="W30" s="84"/>
      <c r="X30" s="83"/>
      <c r="Y30" s="88">
        <f t="shared" si="3"/>
        <v>0</v>
      </c>
      <c r="Z30" s="83"/>
      <c r="AA30" s="56"/>
    </row>
    <row r="31" spans="3:27" s="49" customFormat="1" hidden="1" x14ac:dyDescent="0.25">
      <c r="C31" s="245"/>
      <c r="D31" s="249"/>
      <c r="E31" s="246"/>
      <c r="F31" s="249"/>
      <c r="G31" s="75"/>
      <c r="H31" s="76"/>
      <c r="I31" s="247"/>
      <c r="J31" s="249"/>
      <c r="K31" s="78"/>
      <c r="L31" s="248"/>
      <c r="M31" s="249"/>
      <c r="N31" s="77"/>
      <c r="O31" s="76"/>
      <c r="P31" s="76"/>
      <c r="Q31" s="79"/>
      <c r="R31" s="76"/>
      <c r="S31" s="76"/>
      <c r="T31" s="56"/>
      <c r="U31" s="82"/>
      <c r="V31" s="87"/>
      <c r="W31" s="84"/>
      <c r="X31" s="83"/>
      <c r="Y31" s="88">
        <f t="shared" si="3"/>
        <v>0</v>
      </c>
      <c r="Z31" s="83"/>
      <c r="AA31" s="56"/>
    </row>
    <row r="32" spans="3:27" s="49" customFormat="1" ht="12.75" hidden="1" x14ac:dyDescent="0.2">
      <c r="C32" s="245"/>
      <c r="D32" s="243"/>
      <c r="E32" s="246"/>
      <c r="F32" s="243"/>
      <c r="G32" s="75"/>
      <c r="H32" s="76"/>
      <c r="I32" s="247"/>
      <c r="J32" s="243"/>
      <c r="K32" s="78"/>
      <c r="L32" s="248"/>
      <c r="M32" s="243"/>
      <c r="N32" s="77"/>
      <c r="O32" s="76"/>
      <c r="P32" s="76"/>
      <c r="Q32" s="79"/>
      <c r="R32" s="76"/>
      <c r="S32" s="76"/>
      <c r="T32" s="56"/>
      <c r="U32" s="82"/>
      <c r="V32" s="87"/>
      <c r="W32" s="84"/>
      <c r="X32" s="83"/>
      <c r="Y32" s="88">
        <f t="shared" si="3"/>
        <v>0</v>
      </c>
      <c r="Z32" s="83"/>
      <c r="AA32" s="56"/>
    </row>
    <row r="33" spans="3:30" s="49" customFormat="1" hidden="1" x14ac:dyDescent="0.25">
      <c r="C33" s="245"/>
      <c r="D33" s="249"/>
      <c r="E33" s="246"/>
      <c r="F33" s="249"/>
      <c r="G33" s="75"/>
      <c r="H33" s="76"/>
      <c r="I33" s="247"/>
      <c r="J33" s="249"/>
      <c r="K33" s="78"/>
      <c r="L33" s="248"/>
      <c r="M33" s="249"/>
      <c r="N33" s="77"/>
      <c r="O33" s="76"/>
      <c r="P33" s="76"/>
      <c r="Q33" s="79"/>
      <c r="R33" s="76"/>
      <c r="S33" s="76"/>
      <c r="T33" s="56"/>
      <c r="U33" s="82"/>
      <c r="V33" s="87"/>
      <c r="W33" s="84"/>
      <c r="X33" s="83"/>
      <c r="Y33" s="88">
        <f t="shared" si="3"/>
        <v>0</v>
      </c>
      <c r="Z33" s="83"/>
      <c r="AA33" s="56"/>
    </row>
    <row r="34" spans="3:30" s="49" customFormat="1" hidden="1" x14ac:dyDescent="0.25">
      <c r="C34" s="245"/>
      <c r="D34" s="249"/>
      <c r="E34" s="246"/>
      <c r="F34" s="249"/>
      <c r="G34" s="75"/>
      <c r="H34" s="76"/>
      <c r="I34" s="247"/>
      <c r="J34" s="249"/>
      <c r="K34" s="78"/>
      <c r="L34" s="248"/>
      <c r="M34" s="249"/>
      <c r="N34" s="77"/>
      <c r="O34" s="76"/>
      <c r="P34" s="76"/>
      <c r="Q34" s="79"/>
      <c r="R34" s="76"/>
      <c r="S34" s="76"/>
      <c r="T34" s="56"/>
      <c r="U34" s="82"/>
      <c r="V34" s="87"/>
      <c r="W34" s="84"/>
      <c r="X34" s="83"/>
      <c r="Y34" s="88">
        <f t="shared" si="3"/>
        <v>0</v>
      </c>
      <c r="Z34" s="83"/>
      <c r="AA34" s="56"/>
    </row>
    <row r="35" spans="3:30" s="49" customFormat="1" hidden="1" x14ac:dyDescent="0.25">
      <c r="C35" s="245"/>
      <c r="D35" s="249"/>
      <c r="E35" s="246"/>
      <c r="F35" s="249"/>
      <c r="G35" s="75"/>
      <c r="H35" s="76"/>
      <c r="I35" s="247"/>
      <c r="J35" s="249"/>
      <c r="K35" s="78"/>
      <c r="L35" s="248"/>
      <c r="M35" s="249"/>
      <c r="N35" s="77"/>
      <c r="O35" s="76"/>
      <c r="P35" s="76"/>
      <c r="Q35" s="79"/>
      <c r="R35" s="76"/>
      <c r="S35" s="76"/>
      <c r="T35" s="56"/>
      <c r="U35" s="82"/>
      <c r="V35" s="87"/>
      <c r="W35" s="84"/>
      <c r="X35" s="83"/>
      <c r="Y35" s="88">
        <f t="shared" si="3"/>
        <v>0</v>
      </c>
      <c r="Z35" s="83"/>
      <c r="AA35" s="56"/>
    </row>
    <row r="36" spans="3:30" s="49" customFormat="1" hidden="1" x14ac:dyDescent="0.25">
      <c r="C36" s="245"/>
      <c r="D36" s="249"/>
      <c r="E36" s="246"/>
      <c r="F36" s="249"/>
      <c r="G36" s="75"/>
      <c r="H36" s="76"/>
      <c r="I36" s="247"/>
      <c r="J36" s="249"/>
      <c r="K36" s="78"/>
      <c r="L36" s="248"/>
      <c r="M36" s="249"/>
      <c r="N36" s="77"/>
      <c r="O36" s="76"/>
      <c r="P36" s="76"/>
      <c r="Q36" s="79"/>
      <c r="R36" s="76"/>
      <c r="S36" s="76"/>
      <c r="T36" s="56"/>
      <c r="U36" s="82"/>
      <c r="V36" s="87"/>
      <c r="W36" s="84"/>
      <c r="X36" s="83"/>
      <c r="Y36" s="88">
        <f t="shared" si="3"/>
        <v>0</v>
      </c>
      <c r="Z36" s="83"/>
      <c r="AA36" s="56"/>
    </row>
    <row r="37" spans="3:30" s="49" customFormat="1" hidden="1" x14ac:dyDescent="0.25">
      <c r="C37" s="245"/>
      <c r="D37" s="249"/>
      <c r="E37" s="246"/>
      <c r="F37" s="249"/>
      <c r="G37" s="75"/>
      <c r="H37" s="76"/>
      <c r="I37" s="247"/>
      <c r="J37" s="249"/>
      <c r="K37" s="78"/>
      <c r="L37" s="248"/>
      <c r="M37" s="249"/>
      <c r="N37" s="77"/>
      <c r="O37" s="76"/>
      <c r="P37" s="76"/>
      <c r="Q37" s="79"/>
      <c r="R37" s="76"/>
      <c r="S37" s="76"/>
      <c r="T37" s="56"/>
      <c r="U37" s="82"/>
      <c r="V37" s="87"/>
      <c r="W37" s="84"/>
      <c r="X37" s="83"/>
      <c r="Y37" s="88">
        <f t="shared" si="3"/>
        <v>0</v>
      </c>
      <c r="Z37" s="83"/>
      <c r="AA37" s="56"/>
    </row>
    <row r="38" spans="3:30" s="49" customFormat="1" hidden="1" x14ac:dyDescent="0.25">
      <c r="C38" s="245"/>
      <c r="D38" s="249"/>
      <c r="E38" s="246"/>
      <c r="F38" s="249"/>
      <c r="G38" s="75"/>
      <c r="H38" s="76"/>
      <c r="I38" s="247"/>
      <c r="J38" s="249"/>
      <c r="K38" s="78"/>
      <c r="L38" s="248"/>
      <c r="M38" s="249"/>
      <c r="N38" s="77"/>
      <c r="O38" s="76"/>
      <c r="P38" s="76"/>
      <c r="Q38" s="79"/>
      <c r="R38" s="76"/>
      <c r="S38" s="76"/>
      <c r="T38" s="56"/>
      <c r="U38" s="82"/>
      <c r="V38" s="87"/>
      <c r="W38" s="84"/>
      <c r="X38" s="83"/>
      <c r="Y38" s="88">
        <f t="shared" si="3"/>
        <v>0</v>
      </c>
      <c r="Z38" s="83"/>
      <c r="AA38" s="56"/>
    </row>
    <row r="39" spans="3:30" s="49" customFormat="1" hidden="1" x14ac:dyDescent="0.25">
      <c r="C39" s="245"/>
      <c r="D39" s="249"/>
      <c r="E39" s="246"/>
      <c r="F39" s="249"/>
      <c r="G39" s="75"/>
      <c r="H39" s="76"/>
      <c r="I39" s="247"/>
      <c r="J39" s="249"/>
      <c r="K39" s="78"/>
      <c r="L39" s="248"/>
      <c r="M39" s="249"/>
      <c r="N39" s="77"/>
      <c r="O39" s="76"/>
      <c r="P39" s="76"/>
      <c r="Q39" s="79"/>
      <c r="R39" s="76"/>
      <c r="S39" s="76"/>
      <c r="T39" s="56"/>
      <c r="U39" s="82"/>
      <c r="V39" s="87"/>
      <c r="W39" s="84"/>
      <c r="X39" s="83"/>
      <c r="Y39" s="88">
        <f t="shared" si="3"/>
        <v>0</v>
      </c>
      <c r="Z39" s="83"/>
      <c r="AA39" s="56"/>
    </row>
    <row r="40" spans="3:30" s="49" customFormat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si="3"/>
        <v>0</v>
      </c>
      <c r="Z41" s="83"/>
      <c r="AA41" s="56"/>
    </row>
    <row r="42" spans="3:30" s="49" customFormat="1" ht="11.25" x14ac:dyDescent="0.15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3"/>
        <v>0</v>
      </c>
      <c r="Z42" s="83"/>
      <c r="AA42" s="56"/>
      <c r="AB42" s="56"/>
    </row>
    <row r="43" spans="3:30" s="49" customFormat="1" ht="11.25" x14ac:dyDescent="0.15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81420880</v>
      </c>
      <c r="P43" s="76">
        <v>81420880</v>
      </c>
      <c r="Q43" s="80"/>
      <c r="R43" s="76">
        <v>525541</v>
      </c>
      <c r="S43" s="76">
        <v>80895339</v>
      </c>
      <c r="T43" s="56"/>
      <c r="U43" s="82"/>
      <c r="V43" s="83"/>
      <c r="W43" s="84"/>
      <c r="X43" s="83"/>
      <c r="Y43" s="88">
        <f t="shared" si="3"/>
        <v>0</v>
      </c>
      <c r="Z43" s="83"/>
      <c r="AA43" s="56"/>
      <c r="AB43" s="56"/>
    </row>
    <row r="44" spans="3:30" s="49" customFormat="1" ht="11.25" x14ac:dyDescent="0.15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3"/>
        <v>0</v>
      </c>
      <c r="Z44" s="83"/>
      <c r="AA44" s="56"/>
      <c r="AB44" s="56"/>
    </row>
    <row r="45" spans="3:30" s="49" customFormat="1" ht="11.25" x14ac:dyDescent="0.15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1.25" x14ac:dyDescent="0.15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81420880</v>
      </c>
      <c r="P46" s="76">
        <f>+SUM(P10:P40)</f>
        <v>81420880</v>
      </c>
      <c r="Q46" s="80"/>
      <c r="R46" s="76">
        <f>+SUM(R10:R40)</f>
        <v>525540.68000000005</v>
      </c>
      <c r="S46" s="76">
        <f>+SUM(S10:S40)</f>
        <v>80895340</v>
      </c>
      <c r="U46" s="82"/>
      <c r="V46" s="91">
        <f>SUM(V10:V41)</f>
        <v>525540.68000000005</v>
      </c>
      <c r="W46" s="91">
        <f>SUM(W10:W42)</f>
        <v>80895339.319999993</v>
      </c>
      <c r="X46" s="56"/>
      <c r="Y46" s="91">
        <f>SUM(Y10:Y41)</f>
        <v>525540.67697999999</v>
      </c>
      <c r="Z46" s="91">
        <f>$AA$7*$AA$8*1.19</f>
        <v>69673.224320000008</v>
      </c>
      <c r="AA46" s="91">
        <f>+Y46+Z46</f>
        <v>595213.90130000003</v>
      </c>
      <c r="AB46" s="92">
        <f>+W46-Z46</f>
        <v>80825666.095679998</v>
      </c>
      <c r="AD46" s="56" t="s">
        <v>431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F2:M2"/>
    <mergeCell ref="C9:D9"/>
    <mergeCell ref="E9:F9"/>
    <mergeCell ref="I9:J9"/>
    <mergeCell ref="L9:M9"/>
    <mergeCell ref="C10:D10"/>
    <mergeCell ref="E10:F10"/>
    <mergeCell ref="I10:J10"/>
    <mergeCell ref="L10:M10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C20:D20"/>
    <mergeCell ref="E20:F20"/>
    <mergeCell ref="I20:J20"/>
    <mergeCell ref="L20:M20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37:D37"/>
    <mergeCell ref="E37:F37"/>
    <mergeCell ref="I37:J37"/>
    <mergeCell ref="L37:M37"/>
    <mergeCell ref="C38:D38"/>
    <mergeCell ref="E38:F38"/>
    <mergeCell ref="I38:J38"/>
    <mergeCell ref="L38:M38"/>
    <mergeCell ref="C35:D35"/>
    <mergeCell ref="E35:F35"/>
    <mergeCell ref="I35:J35"/>
    <mergeCell ref="L35:M35"/>
    <mergeCell ref="C36:D36"/>
    <mergeCell ref="E36:F36"/>
    <mergeCell ref="I36:J36"/>
    <mergeCell ref="L36:M36"/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E90A-2DA0-4AB2-8AFC-D03ED8A5DBE1}">
  <dimension ref="A1:M14"/>
  <sheetViews>
    <sheetView workbookViewId="0">
      <selection activeCell="F13" sqref="F13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406</v>
      </c>
      <c r="F2" s="120" t="s">
        <v>407</v>
      </c>
      <c r="G2" s="120" t="s">
        <v>408</v>
      </c>
      <c r="H2" s="120" t="s">
        <v>409</v>
      </c>
      <c r="I2" s="122">
        <v>3871319</v>
      </c>
      <c r="J2" s="120" t="s">
        <v>83</v>
      </c>
      <c r="K2" s="120" t="s">
        <v>84</v>
      </c>
      <c r="L2" s="120" t="s">
        <v>410</v>
      </c>
      <c r="M2" s="124">
        <f t="shared" ref="M2:M4" si="0">+I2/1.19</f>
        <v>3253209.2436974794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411</v>
      </c>
      <c r="F3" s="120" t="s">
        <v>412</v>
      </c>
      <c r="G3" s="120" t="s">
        <v>408</v>
      </c>
      <c r="H3" s="120" t="s">
        <v>409</v>
      </c>
      <c r="I3" s="122">
        <v>1548527</v>
      </c>
      <c r="J3" s="120" t="s">
        <v>83</v>
      </c>
      <c r="K3" s="120" t="s">
        <v>84</v>
      </c>
      <c r="L3" s="120" t="s">
        <v>413</v>
      </c>
      <c r="M3" s="124">
        <f t="shared" si="0"/>
        <v>1301283.193277311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414</v>
      </c>
      <c r="F4" s="120" t="s">
        <v>415</v>
      </c>
      <c r="G4" s="120" t="s">
        <v>408</v>
      </c>
      <c r="H4" s="120" t="s">
        <v>409</v>
      </c>
      <c r="I4" s="122">
        <v>3097056</v>
      </c>
      <c r="J4" s="120" t="s">
        <v>83</v>
      </c>
      <c r="K4" s="120" t="s">
        <v>84</v>
      </c>
      <c r="L4" s="120" t="s">
        <v>416</v>
      </c>
      <c r="M4" s="124">
        <f t="shared" si="0"/>
        <v>2602568.0672268909</v>
      </c>
    </row>
    <row r="5" spans="1:13" x14ac:dyDescent="0.25">
      <c r="I5" s="123"/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417</v>
      </c>
      <c r="D7" s="93"/>
      <c r="E7" s="125"/>
      <c r="F7" s="93"/>
      <c r="G7" s="93"/>
      <c r="H7" s="93"/>
    </row>
    <row r="8" spans="1:13" x14ac:dyDescent="0.25">
      <c r="C8" s="125" t="s">
        <v>394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20119558</v>
      </c>
      <c r="E10" s="176" t="s">
        <v>395</v>
      </c>
      <c r="F10" s="129">
        <f>+M2</f>
        <v>3253209.2436974794</v>
      </c>
      <c r="G10" s="189"/>
      <c r="H10" s="130">
        <f>+G10-F10</f>
        <v>-3253209.2436974794</v>
      </c>
    </row>
    <row r="11" spans="1:13" x14ac:dyDescent="0.25">
      <c r="C11" s="121">
        <v>0.08</v>
      </c>
      <c r="D11" s="127">
        <v>20120681</v>
      </c>
      <c r="E11" s="176" t="str">
        <f>+E10</f>
        <v>F</v>
      </c>
      <c r="F11" s="129">
        <f>+M4</f>
        <v>2602568.0672268909</v>
      </c>
      <c r="G11" s="130"/>
      <c r="H11" s="130">
        <f>+G11-F11</f>
        <v>-2602568.0672268909</v>
      </c>
    </row>
    <row r="12" spans="1:13" x14ac:dyDescent="0.25">
      <c r="C12" s="121">
        <v>0.04</v>
      </c>
      <c r="D12" s="127">
        <v>20120261</v>
      </c>
      <c r="E12" s="176" t="str">
        <f>+E11</f>
        <v>F</v>
      </c>
      <c r="F12" s="129">
        <f>+M3</f>
        <v>1301283.193277311</v>
      </c>
      <c r="G12" s="130"/>
      <c r="H12" s="130">
        <f t="shared" ref="H12" si="1">+G12-F12</f>
        <v>-1301283.193277311</v>
      </c>
    </row>
    <row r="13" spans="1:13" x14ac:dyDescent="0.25">
      <c r="C13" s="133" t="s">
        <v>91</v>
      </c>
      <c r="D13" s="133"/>
      <c r="E13" s="133"/>
      <c r="F13" s="134">
        <f>+SUM(F10:F12)</f>
        <v>7157060.5042016804</v>
      </c>
      <c r="G13" s="134">
        <f>+SUM(G10:G12)</f>
        <v>0</v>
      </c>
      <c r="H13" s="134">
        <f>+SUM(H10:H12)</f>
        <v>-7157060.5042016804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7157060.5042016804</v>
      </c>
      <c r="H14" s="13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EF4C-2B97-4925-9D67-2A53D2139D91}">
  <sheetPr>
    <tabColor theme="9" tint="-0.249977111117893"/>
  </sheetPr>
  <dimension ref="C2:AD53"/>
  <sheetViews>
    <sheetView topLeftCell="D1" zoomScale="85" zoomScaleNormal="85" workbookViewId="0">
      <selection activeCell="AE14" sqref="AE14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50355882</v>
      </c>
      <c r="I4" s="60"/>
      <c r="J4" s="59" t="s">
        <v>36</v>
      </c>
      <c r="K4" s="62">
        <v>69608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348549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397</v>
      </c>
      <c r="E6" s="64"/>
      <c r="F6" s="63"/>
      <c r="G6" s="63" t="s">
        <v>46</v>
      </c>
      <c r="H6" s="66">
        <v>50007333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905028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49937724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36559.01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397</v>
      </c>
      <c r="H10" s="76">
        <v>1230750562</v>
      </c>
      <c r="I10" s="247" t="s">
        <v>68</v>
      </c>
      <c r="J10" s="249"/>
      <c r="K10" s="78" t="s">
        <v>398</v>
      </c>
      <c r="L10" s="248" t="s">
        <v>381</v>
      </c>
      <c r="M10" s="249"/>
      <c r="N10" s="77" t="s">
        <v>212</v>
      </c>
      <c r="O10" s="76">
        <v>-6928964</v>
      </c>
      <c r="P10" s="76">
        <v>-6928964</v>
      </c>
      <c r="Q10" s="79" t="s">
        <v>327</v>
      </c>
      <c r="R10" s="76">
        <v>-37693.56</v>
      </c>
      <c r="S10" s="76">
        <v>-6891270</v>
      </c>
      <c r="T10" s="56"/>
      <c r="U10" s="82">
        <f t="shared" ref="U10:U14" si="0">+R10/P10</f>
        <v>5.4399993996216457E-3</v>
      </c>
      <c r="V10" s="87">
        <f t="shared" ref="V10:V14" si="1">+U10*P10</f>
        <v>-37693.56</v>
      </c>
      <c r="W10" s="84">
        <f t="shared" ref="W10:W14" si="2">+P10-V10</f>
        <v>-6891270.4400000004</v>
      </c>
      <c r="X10" s="84"/>
      <c r="Y10" s="88">
        <f>+Q10%*(N10/30)*P10</f>
        <v>-37693.564160000002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397</v>
      </c>
      <c r="H11" s="76">
        <v>1230750562</v>
      </c>
      <c r="I11" s="247" t="s">
        <v>68</v>
      </c>
      <c r="J11" s="249"/>
      <c r="K11" s="78" t="s">
        <v>399</v>
      </c>
      <c r="L11" s="248" t="s">
        <v>381</v>
      </c>
      <c r="M11" s="249"/>
      <c r="N11" s="77" t="s">
        <v>212</v>
      </c>
      <c r="O11" s="76">
        <v>-2771586</v>
      </c>
      <c r="P11" s="76">
        <v>-2771586</v>
      </c>
      <c r="Q11" s="79" t="s">
        <v>327</v>
      </c>
      <c r="R11" s="76">
        <v>-15077.43</v>
      </c>
      <c r="S11" s="76">
        <v>-2756509</v>
      </c>
      <c r="T11" s="56"/>
      <c r="U11" s="82">
        <f t="shared" si="0"/>
        <v>5.4400007793371742E-3</v>
      </c>
      <c r="V11" s="87">
        <f t="shared" si="1"/>
        <v>-15077.430000000002</v>
      </c>
      <c r="W11" s="84">
        <f t="shared" si="2"/>
        <v>-2756508.57</v>
      </c>
      <c r="X11" s="84"/>
      <c r="Y11" s="88">
        <f t="shared" ref="Y11:Y44" si="3">+Q11%*(N11/30)*P11</f>
        <v>-15077.42784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397</v>
      </c>
      <c r="H12" s="76">
        <v>1230750562</v>
      </c>
      <c r="I12" s="247" t="s">
        <v>68</v>
      </c>
      <c r="J12" s="249"/>
      <c r="K12" s="78" t="s">
        <v>400</v>
      </c>
      <c r="L12" s="248" t="s">
        <v>381</v>
      </c>
      <c r="M12" s="249"/>
      <c r="N12" s="77" t="s">
        <v>212</v>
      </c>
      <c r="O12" s="76">
        <v>-5543170</v>
      </c>
      <c r="P12" s="76">
        <v>-5543170</v>
      </c>
      <c r="Q12" s="79" t="s">
        <v>327</v>
      </c>
      <c r="R12" s="76">
        <v>-30154.84</v>
      </c>
      <c r="S12" s="76">
        <v>-5513015</v>
      </c>
      <c r="T12" s="56"/>
      <c r="U12" s="82">
        <f t="shared" si="0"/>
        <v>5.4399991340694943E-3</v>
      </c>
      <c r="V12" s="87">
        <f t="shared" si="1"/>
        <v>-30154.84</v>
      </c>
      <c r="W12" s="84">
        <f t="shared" si="2"/>
        <v>-5513015.1600000001</v>
      </c>
      <c r="X12" s="83"/>
      <c r="Y12" s="88">
        <f t="shared" si="3"/>
        <v>-30154.844800000003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397</v>
      </c>
      <c r="H13" s="76">
        <v>1230750562</v>
      </c>
      <c r="I13" s="247" t="s">
        <v>69</v>
      </c>
      <c r="J13" s="249"/>
      <c r="K13" s="78" t="s">
        <v>401</v>
      </c>
      <c r="L13" s="248" t="s">
        <v>381</v>
      </c>
      <c r="M13" s="249"/>
      <c r="N13" s="77" t="s">
        <v>212</v>
      </c>
      <c r="O13" s="76">
        <v>34249538</v>
      </c>
      <c r="P13" s="76">
        <v>34249538</v>
      </c>
      <c r="Q13" s="79" t="s">
        <v>327</v>
      </c>
      <c r="R13" s="76">
        <v>186317.49</v>
      </c>
      <c r="S13" s="76">
        <v>34063221</v>
      </c>
      <c r="T13" s="56"/>
      <c r="U13" s="82">
        <f t="shared" si="0"/>
        <v>5.4400000957677153E-3</v>
      </c>
      <c r="V13" s="87">
        <f t="shared" si="1"/>
        <v>186317.49000000002</v>
      </c>
      <c r="W13" s="84">
        <f t="shared" si="2"/>
        <v>34063220.509999998</v>
      </c>
      <c r="X13" s="83"/>
      <c r="Y13" s="88">
        <f t="shared" si="3"/>
        <v>186317.48672000002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397</v>
      </c>
      <c r="H14" s="76">
        <v>1230750563</v>
      </c>
      <c r="I14" s="247" t="s">
        <v>69</v>
      </c>
      <c r="J14" s="249"/>
      <c r="K14" s="78" t="s">
        <v>402</v>
      </c>
      <c r="L14" s="248" t="s">
        <v>403</v>
      </c>
      <c r="M14" s="249"/>
      <c r="N14" s="77" t="s">
        <v>198</v>
      </c>
      <c r="O14" s="76">
        <v>31350064</v>
      </c>
      <c r="P14" s="76">
        <v>31350064</v>
      </c>
      <c r="Q14" s="79" t="s">
        <v>327</v>
      </c>
      <c r="R14" s="76">
        <v>245157.5</v>
      </c>
      <c r="S14" s="76">
        <v>31104906</v>
      </c>
      <c r="T14" s="56"/>
      <c r="U14" s="82">
        <f t="shared" si="0"/>
        <v>7.8199999846890259E-3</v>
      </c>
      <c r="V14" s="87">
        <f t="shared" si="1"/>
        <v>245157.49999999997</v>
      </c>
      <c r="W14" s="84">
        <f t="shared" si="2"/>
        <v>31104906.5</v>
      </c>
      <c r="X14" s="83"/>
      <c r="Y14" s="88">
        <f t="shared" si="3"/>
        <v>245157.50048000002</v>
      </c>
      <c r="Z14" s="83"/>
      <c r="AA14" s="56"/>
    </row>
    <row r="15" spans="3:27" s="49" customFormat="1" x14ac:dyDescent="0.25">
      <c r="C15" s="245"/>
      <c r="D15" s="249"/>
      <c r="E15" s="246"/>
      <c r="F15" s="249"/>
      <c r="G15" s="75"/>
      <c r="H15" s="76"/>
      <c r="I15" s="247"/>
      <c r="J15" s="249"/>
      <c r="K15" s="78"/>
      <c r="L15" s="248"/>
      <c r="M15" s="249"/>
      <c r="N15" s="77"/>
      <c r="O15" s="76"/>
      <c r="P15" s="76"/>
      <c r="Q15" s="79"/>
      <c r="R15" s="76"/>
      <c r="S15" s="76"/>
      <c r="T15" s="56"/>
      <c r="U15" s="82"/>
      <c r="V15" s="87"/>
      <c r="W15" s="84"/>
      <c r="X15" s="83"/>
      <c r="Y15" s="88">
        <f t="shared" si="3"/>
        <v>0</v>
      </c>
      <c r="Z15" s="83"/>
      <c r="AA15" s="56"/>
    </row>
    <row r="16" spans="3:27" s="49" customFormat="1" ht="12.75" hidden="1" x14ac:dyDescent="0.2">
      <c r="C16" s="245"/>
      <c r="D16" s="243"/>
      <c r="E16" s="246"/>
      <c r="F16" s="243"/>
      <c r="G16" s="75"/>
      <c r="H16" s="76"/>
      <c r="I16" s="247"/>
      <c r="J16" s="243"/>
      <c r="K16" s="78"/>
      <c r="L16" s="248"/>
      <c r="M16" s="243"/>
      <c r="N16" s="77"/>
      <c r="O16" s="76"/>
      <c r="P16" s="76"/>
      <c r="Q16" s="79"/>
      <c r="R16" s="76"/>
      <c r="S16" s="76"/>
      <c r="T16" s="56"/>
      <c r="U16" s="82"/>
      <c r="V16" s="87"/>
      <c r="W16" s="84"/>
      <c r="X16" s="83"/>
      <c r="Y16" s="88">
        <f t="shared" si="3"/>
        <v>0</v>
      </c>
      <c r="Z16" s="83"/>
      <c r="AA16" s="56"/>
    </row>
    <row r="17" spans="3:27" s="49" customFormat="1" hidden="1" x14ac:dyDescent="0.25">
      <c r="C17" s="245"/>
      <c r="D17" s="249"/>
      <c r="E17" s="246"/>
      <c r="F17" s="249"/>
      <c r="G17" s="75"/>
      <c r="H17" s="76"/>
      <c r="I17" s="247"/>
      <c r="J17" s="249"/>
      <c r="K17" s="78"/>
      <c r="L17" s="248"/>
      <c r="M17" s="249"/>
      <c r="N17" s="77"/>
      <c r="O17" s="76"/>
      <c r="P17" s="76"/>
      <c r="Q17" s="79"/>
      <c r="R17" s="76"/>
      <c r="S17" s="76"/>
      <c r="T17" s="56"/>
      <c r="U17" s="82"/>
      <c r="V17" s="87"/>
      <c r="W17" s="84"/>
      <c r="X17" s="83"/>
      <c r="Y17" s="88">
        <f t="shared" si="3"/>
        <v>0</v>
      </c>
      <c r="Z17" s="83"/>
      <c r="AA17" s="56"/>
    </row>
    <row r="18" spans="3:27" s="49" customFormat="1" hidden="1" x14ac:dyDescent="0.25">
      <c r="C18" s="245"/>
      <c r="D18" s="249"/>
      <c r="E18" s="246"/>
      <c r="F18" s="249"/>
      <c r="G18" s="75"/>
      <c r="H18" s="76"/>
      <c r="I18" s="247"/>
      <c r="J18" s="249"/>
      <c r="K18" s="78"/>
      <c r="L18" s="248"/>
      <c r="M18" s="249"/>
      <c r="N18" s="77"/>
      <c r="O18" s="76"/>
      <c r="P18" s="76"/>
      <c r="Q18" s="79"/>
      <c r="R18" s="76"/>
      <c r="S18" s="76"/>
      <c r="T18" s="56"/>
      <c r="U18" s="82"/>
      <c r="V18" s="87"/>
      <c r="W18" s="84"/>
      <c r="X18" s="83"/>
      <c r="Y18" s="88">
        <f t="shared" si="3"/>
        <v>0</v>
      </c>
      <c r="Z18" s="83"/>
      <c r="AA18" s="56"/>
    </row>
    <row r="19" spans="3:27" s="49" customFormat="1" hidden="1" x14ac:dyDescent="0.25">
      <c r="C19" s="245"/>
      <c r="D19" s="249"/>
      <c r="E19" s="246"/>
      <c r="F19" s="249"/>
      <c r="G19" s="75"/>
      <c r="H19" s="76"/>
      <c r="I19" s="247"/>
      <c r="J19" s="249"/>
      <c r="K19" s="78"/>
      <c r="L19" s="248"/>
      <c r="M19" s="249"/>
      <c r="N19" s="77"/>
      <c r="O19" s="76"/>
      <c r="P19" s="76"/>
      <c r="Q19" s="79"/>
      <c r="R19" s="76"/>
      <c r="S19" s="76"/>
      <c r="T19" s="56"/>
      <c r="U19" s="82"/>
      <c r="V19" s="87"/>
      <c r="W19" s="84"/>
      <c r="X19" s="83"/>
      <c r="Y19" s="88">
        <f t="shared" si="3"/>
        <v>0</v>
      </c>
      <c r="Z19" s="83"/>
      <c r="AA19" s="56"/>
    </row>
    <row r="20" spans="3:27" s="49" customFormat="1" hidden="1" x14ac:dyDescent="0.25">
      <c r="C20" s="245"/>
      <c r="D20" s="249"/>
      <c r="E20" s="246"/>
      <c r="F20" s="249"/>
      <c r="G20" s="75"/>
      <c r="H20" s="76"/>
      <c r="I20" s="247"/>
      <c r="J20" s="249"/>
      <c r="K20" s="78"/>
      <c r="L20" s="248"/>
      <c r="M20" s="249"/>
      <c r="N20" s="77"/>
      <c r="O20" s="76"/>
      <c r="P20" s="76"/>
      <c r="Q20" s="79"/>
      <c r="R20" s="76"/>
      <c r="S20" s="76"/>
      <c r="T20" s="56"/>
      <c r="U20" s="82"/>
      <c r="V20" s="87"/>
      <c r="W20" s="84"/>
      <c r="X20" s="83"/>
      <c r="Y20" s="88">
        <f t="shared" si="3"/>
        <v>0</v>
      </c>
      <c r="Z20" s="83"/>
      <c r="AA20" s="56"/>
    </row>
    <row r="21" spans="3:27" s="49" customFormat="1" hidden="1" x14ac:dyDescent="0.25">
      <c r="C21" s="245"/>
      <c r="D21" s="249"/>
      <c r="E21" s="246"/>
      <c r="F21" s="249"/>
      <c r="G21" s="75"/>
      <c r="H21" s="76"/>
      <c r="I21" s="247"/>
      <c r="J21" s="249"/>
      <c r="K21" s="78"/>
      <c r="L21" s="248"/>
      <c r="M21" s="249"/>
      <c r="N21" s="77"/>
      <c r="O21" s="76"/>
      <c r="P21" s="76"/>
      <c r="Q21" s="79"/>
      <c r="R21" s="76"/>
      <c r="S21" s="76"/>
      <c r="T21" s="56"/>
      <c r="U21" s="82"/>
      <c r="V21" s="87"/>
      <c r="W21" s="84"/>
      <c r="X21" s="83"/>
      <c r="Y21" s="88">
        <f t="shared" si="3"/>
        <v>0</v>
      </c>
      <c r="Z21" s="83"/>
      <c r="AA21" s="56"/>
    </row>
    <row r="22" spans="3:27" s="49" customFormat="1" hidden="1" x14ac:dyDescent="0.25">
      <c r="C22" s="245"/>
      <c r="D22" s="249"/>
      <c r="E22" s="246"/>
      <c r="F22" s="249"/>
      <c r="G22" s="75"/>
      <c r="H22" s="76"/>
      <c r="I22" s="247"/>
      <c r="J22" s="249"/>
      <c r="K22" s="78"/>
      <c r="L22" s="248"/>
      <c r="M22" s="249"/>
      <c r="N22" s="77"/>
      <c r="O22" s="76"/>
      <c r="P22" s="76"/>
      <c r="Q22" s="79"/>
      <c r="R22" s="76"/>
      <c r="S22" s="76"/>
      <c r="T22" s="56"/>
      <c r="U22" s="82"/>
      <c r="V22" s="87"/>
      <c r="W22" s="84"/>
      <c r="X22" s="83"/>
      <c r="Y22" s="88">
        <f t="shared" si="3"/>
        <v>0</v>
      </c>
      <c r="Z22" s="83"/>
      <c r="AA22" s="56"/>
    </row>
    <row r="23" spans="3:27" s="49" customFormat="1" hidden="1" x14ac:dyDescent="0.25">
      <c r="C23" s="245"/>
      <c r="D23" s="249"/>
      <c r="E23" s="246"/>
      <c r="F23" s="249"/>
      <c r="G23" s="75"/>
      <c r="H23" s="76"/>
      <c r="I23" s="247"/>
      <c r="J23" s="249"/>
      <c r="K23" s="78"/>
      <c r="L23" s="248"/>
      <c r="M23" s="249"/>
      <c r="N23" s="77"/>
      <c r="O23" s="76"/>
      <c r="P23" s="76"/>
      <c r="Q23" s="79"/>
      <c r="R23" s="76"/>
      <c r="S23" s="76"/>
      <c r="T23" s="56"/>
      <c r="U23" s="82"/>
      <c r="V23" s="87"/>
      <c r="W23" s="84"/>
      <c r="X23" s="83"/>
      <c r="Y23" s="88">
        <f t="shared" si="3"/>
        <v>0</v>
      </c>
      <c r="Z23" s="83"/>
      <c r="AA23" s="56"/>
    </row>
    <row r="24" spans="3:27" s="49" customFormat="1" hidden="1" x14ac:dyDescent="0.25">
      <c r="C24" s="245"/>
      <c r="D24" s="249"/>
      <c r="E24" s="246"/>
      <c r="F24" s="249"/>
      <c r="G24" s="75"/>
      <c r="H24" s="76"/>
      <c r="I24" s="247"/>
      <c r="J24" s="249"/>
      <c r="K24" s="78"/>
      <c r="L24" s="248"/>
      <c r="M24" s="249"/>
      <c r="N24" s="77"/>
      <c r="O24" s="76"/>
      <c r="P24" s="76"/>
      <c r="Q24" s="79"/>
      <c r="R24" s="76"/>
      <c r="S24" s="76"/>
      <c r="T24" s="56"/>
      <c r="U24" s="82"/>
      <c r="V24" s="87"/>
      <c r="W24" s="84"/>
      <c r="X24" s="83"/>
      <c r="Y24" s="88">
        <f t="shared" si="3"/>
        <v>0</v>
      </c>
      <c r="Z24" s="83"/>
      <c r="AA24" s="56"/>
    </row>
    <row r="25" spans="3:27" s="49" customFormat="1" hidden="1" x14ac:dyDescent="0.25">
      <c r="C25" s="245"/>
      <c r="D25" s="249"/>
      <c r="E25" s="246"/>
      <c r="F25" s="249"/>
      <c r="G25" s="75"/>
      <c r="H25" s="76"/>
      <c r="I25" s="247"/>
      <c r="J25" s="249"/>
      <c r="K25" s="78"/>
      <c r="L25" s="248"/>
      <c r="M25" s="249"/>
      <c r="N25" s="77"/>
      <c r="O25" s="76"/>
      <c r="P25" s="76"/>
      <c r="Q25" s="79"/>
      <c r="R25" s="76"/>
      <c r="S25" s="76"/>
      <c r="T25" s="56"/>
      <c r="U25" s="82"/>
      <c r="V25" s="87"/>
      <c r="W25" s="84"/>
      <c r="X25" s="83"/>
      <c r="Y25" s="88">
        <f t="shared" si="3"/>
        <v>0</v>
      </c>
      <c r="Z25" s="83"/>
      <c r="AA25" s="56"/>
    </row>
    <row r="26" spans="3:27" s="49" customFormat="1" hidden="1" x14ac:dyDescent="0.25">
      <c r="C26" s="245"/>
      <c r="D26" s="249"/>
      <c r="E26" s="246"/>
      <c r="F26" s="249"/>
      <c r="G26" s="75"/>
      <c r="H26" s="76"/>
      <c r="I26" s="247"/>
      <c r="J26" s="249"/>
      <c r="K26" s="78"/>
      <c r="L26" s="248"/>
      <c r="M26" s="249"/>
      <c r="N26" s="77"/>
      <c r="O26" s="76"/>
      <c r="P26" s="76"/>
      <c r="Q26" s="79"/>
      <c r="R26" s="76"/>
      <c r="S26" s="76"/>
      <c r="T26" s="56"/>
      <c r="U26" s="82"/>
      <c r="V26" s="87"/>
      <c r="W26" s="84"/>
      <c r="X26" s="83"/>
      <c r="Y26" s="88">
        <f t="shared" si="3"/>
        <v>0</v>
      </c>
      <c r="Z26" s="83"/>
      <c r="AA26" s="56"/>
    </row>
    <row r="27" spans="3:27" s="49" customFormat="1" hidden="1" x14ac:dyDescent="0.25">
      <c r="C27" s="245"/>
      <c r="D27" s="249"/>
      <c r="E27" s="246"/>
      <c r="F27" s="249"/>
      <c r="G27" s="75"/>
      <c r="H27" s="76"/>
      <c r="I27" s="247"/>
      <c r="J27" s="249"/>
      <c r="K27" s="78"/>
      <c r="L27" s="248"/>
      <c r="M27" s="249"/>
      <c r="N27" s="77"/>
      <c r="O27" s="76"/>
      <c r="P27" s="76"/>
      <c r="Q27" s="79"/>
      <c r="R27" s="76"/>
      <c r="S27" s="76"/>
      <c r="T27" s="56"/>
      <c r="U27" s="82"/>
      <c r="V27" s="87"/>
      <c r="W27" s="84"/>
      <c r="X27" s="83"/>
      <c r="Y27" s="88">
        <f t="shared" si="3"/>
        <v>0</v>
      </c>
      <c r="Z27" s="83"/>
      <c r="AA27" s="56"/>
    </row>
    <row r="28" spans="3:27" s="49" customFormat="1" hidden="1" x14ac:dyDescent="0.25">
      <c r="C28" s="245"/>
      <c r="D28" s="249"/>
      <c r="E28" s="246"/>
      <c r="F28" s="249"/>
      <c r="G28" s="75"/>
      <c r="H28" s="76"/>
      <c r="I28" s="247"/>
      <c r="J28" s="249"/>
      <c r="K28" s="78"/>
      <c r="L28" s="248"/>
      <c r="M28" s="249"/>
      <c r="N28" s="77"/>
      <c r="O28" s="76"/>
      <c r="P28" s="76"/>
      <c r="Q28" s="79"/>
      <c r="R28" s="76"/>
      <c r="S28" s="76"/>
      <c r="T28" s="56"/>
      <c r="U28" s="82"/>
      <c r="V28" s="87"/>
      <c r="W28" s="84"/>
      <c r="X28" s="83"/>
      <c r="Y28" s="88">
        <f t="shared" si="3"/>
        <v>0</v>
      </c>
      <c r="Z28" s="83"/>
      <c r="AA28" s="56"/>
    </row>
    <row r="29" spans="3:27" s="49" customFormat="1" hidden="1" x14ac:dyDescent="0.25">
      <c r="C29" s="245"/>
      <c r="D29" s="249"/>
      <c r="E29" s="246"/>
      <c r="F29" s="249"/>
      <c r="G29" s="75"/>
      <c r="H29" s="76"/>
      <c r="I29" s="247"/>
      <c r="J29" s="249"/>
      <c r="K29" s="78"/>
      <c r="L29" s="248"/>
      <c r="M29" s="249"/>
      <c r="N29" s="77"/>
      <c r="O29" s="76"/>
      <c r="P29" s="76"/>
      <c r="Q29" s="79"/>
      <c r="R29" s="76"/>
      <c r="S29" s="76"/>
      <c r="T29" s="56"/>
      <c r="U29" s="82"/>
      <c r="V29" s="87"/>
      <c r="W29" s="84"/>
      <c r="X29" s="83"/>
      <c r="Y29" s="88">
        <f t="shared" si="3"/>
        <v>0</v>
      </c>
      <c r="Z29" s="83"/>
      <c r="AA29" s="56"/>
    </row>
    <row r="30" spans="3:27" s="49" customFormat="1" hidden="1" x14ac:dyDescent="0.25">
      <c r="C30" s="245"/>
      <c r="D30" s="249"/>
      <c r="E30" s="246"/>
      <c r="F30" s="249"/>
      <c r="G30" s="75"/>
      <c r="H30" s="76"/>
      <c r="I30" s="247"/>
      <c r="J30" s="249"/>
      <c r="K30" s="78"/>
      <c r="L30" s="248"/>
      <c r="M30" s="249"/>
      <c r="N30" s="77"/>
      <c r="O30" s="76"/>
      <c r="P30" s="76"/>
      <c r="Q30" s="79"/>
      <c r="R30" s="76"/>
      <c r="S30" s="76"/>
      <c r="T30" s="56"/>
      <c r="U30" s="82"/>
      <c r="V30" s="87"/>
      <c r="W30" s="84"/>
      <c r="X30" s="83"/>
      <c r="Y30" s="88">
        <f t="shared" si="3"/>
        <v>0</v>
      </c>
      <c r="Z30" s="83"/>
      <c r="AA30" s="56"/>
    </row>
    <row r="31" spans="3:27" s="49" customFormat="1" hidden="1" x14ac:dyDescent="0.25">
      <c r="C31" s="245"/>
      <c r="D31" s="249"/>
      <c r="E31" s="246"/>
      <c r="F31" s="249"/>
      <c r="G31" s="75"/>
      <c r="H31" s="76"/>
      <c r="I31" s="247"/>
      <c r="J31" s="249"/>
      <c r="K31" s="78"/>
      <c r="L31" s="248"/>
      <c r="M31" s="249"/>
      <c r="N31" s="77"/>
      <c r="O31" s="76"/>
      <c r="P31" s="76"/>
      <c r="Q31" s="79"/>
      <c r="R31" s="76"/>
      <c r="S31" s="76"/>
      <c r="T31" s="56"/>
      <c r="U31" s="82"/>
      <c r="V31" s="87"/>
      <c r="W31" s="84"/>
      <c r="X31" s="83"/>
      <c r="Y31" s="88">
        <f t="shared" si="3"/>
        <v>0</v>
      </c>
      <c r="Z31" s="83"/>
      <c r="AA31" s="56"/>
    </row>
    <row r="32" spans="3:27" s="49" customFormat="1" ht="12.75" hidden="1" x14ac:dyDescent="0.2">
      <c r="C32" s="245"/>
      <c r="D32" s="243"/>
      <c r="E32" s="246"/>
      <c r="F32" s="243"/>
      <c r="G32" s="75"/>
      <c r="H32" s="76"/>
      <c r="I32" s="247"/>
      <c r="J32" s="243"/>
      <c r="K32" s="78"/>
      <c r="L32" s="248"/>
      <c r="M32" s="243"/>
      <c r="N32" s="77"/>
      <c r="O32" s="76"/>
      <c r="P32" s="76"/>
      <c r="Q32" s="79"/>
      <c r="R32" s="76"/>
      <c r="S32" s="76"/>
      <c r="T32" s="56"/>
      <c r="U32" s="82"/>
      <c r="V32" s="87"/>
      <c r="W32" s="84"/>
      <c r="X32" s="83"/>
      <c r="Y32" s="88">
        <f t="shared" si="3"/>
        <v>0</v>
      </c>
      <c r="Z32" s="83"/>
      <c r="AA32" s="56"/>
    </row>
    <row r="33" spans="3:30" s="49" customFormat="1" hidden="1" x14ac:dyDescent="0.25">
      <c r="C33" s="245"/>
      <c r="D33" s="249"/>
      <c r="E33" s="246"/>
      <c r="F33" s="249"/>
      <c r="G33" s="75"/>
      <c r="H33" s="76"/>
      <c r="I33" s="247"/>
      <c r="J33" s="249"/>
      <c r="K33" s="78"/>
      <c r="L33" s="248"/>
      <c r="M33" s="249"/>
      <c r="N33" s="77"/>
      <c r="O33" s="76"/>
      <c r="P33" s="76"/>
      <c r="Q33" s="79"/>
      <c r="R33" s="76"/>
      <c r="S33" s="76"/>
      <c r="T33" s="56"/>
      <c r="U33" s="82"/>
      <c r="V33" s="87"/>
      <c r="W33" s="84"/>
      <c r="X33" s="83"/>
      <c r="Y33" s="88">
        <f t="shared" si="3"/>
        <v>0</v>
      </c>
      <c r="Z33" s="83"/>
      <c r="AA33" s="56"/>
    </row>
    <row r="34" spans="3:30" s="49" customFormat="1" hidden="1" x14ac:dyDescent="0.25">
      <c r="C34" s="245"/>
      <c r="D34" s="249"/>
      <c r="E34" s="246"/>
      <c r="F34" s="249"/>
      <c r="G34" s="75"/>
      <c r="H34" s="76"/>
      <c r="I34" s="247"/>
      <c r="J34" s="249"/>
      <c r="K34" s="78"/>
      <c r="L34" s="248"/>
      <c r="M34" s="249"/>
      <c r="N34" s="77"/>
      <c r="O34" s="76"/>
      <c r="P34" s="76"/>
      <c r="Q34" s="79"/>
      <c r="R34" s="76"/>
      <c r="S34" s="76"/>
      <c r="T34" s="56"/>
      <c r="U34" s="82"/>
      <c r="V34" s="87"/>
      <c r="W34" s="84"/>
      <c r="X34" s="83"/>
      <c r="Y34" s="88">
        <f t="shared" si="3"/>
        <v>0</v>
      </c>
      <c r="Z34" s="83"/>
      <c r="AA34" s="56"/>
    </row>
    <row r="35" spans="3:30" s="49" customFormat="1" hidden="1" x14ac:dyDescent="0.25">
      <c r="C35" s="245"/>
      <c r="D35" s="249"/>
      <c r="E35" s="246"/>
      <c r="F35" s="249"/>
      <c r="G35" s="75"/>
      <c r="H35" s="76"/>
      <c r="I35" s="247"/>
      <c r="J35" s="249"/>
      <c r="K35" s="78"/>
      <c r="L35" s="248"/>
      <c r="M35" s="249"/>
      <c r="N35" s="77"/>
      <c r="O35" s="76"/>
      <c r="P35" s="76"/>
      <c r="Q35" s="79"/>
      <c r="R35" s="76"/>
      <c r="S35" s="76"/>
      <c r="T35" s="56"/>
      <c r="U35" s="82"/>
      <c r="V35" s="87"/>
      <c r="W35" s="84"/>
      <c r="X35" s="83"/>
      <c r="Y35" s="88">
        <f t="shared" si="3"/>
        <v>0</v>
      </c>
      <c r="Z35" s="83"/>
      <c r="AA35" s="56"/>
    </row>
    <row r="36" spans="3:30" s="49" customFormat="1" hidden="1" x14ac:dyDescent="0.25">
      <c r="C36" s="245"/>
      <c r="D36" s="249"/>
      <c r="E36" s="246"/>
      <c r="F36" s="249"/>
      <c r="G36" s="75"/>
      <c r="H36" s="76"/>
      <c r="I36" s="247"/>
      <c r="J36" s="249"/>
      <c r="K36" s="78"/>
      <c r="L36" s="248"/>
      <c r="M36" s="249"/>
      <c r="N36" s="77"/>
      <c r="O36" s="76"/>
      <c r="P36" s="76"/>
      <c r="Q36" s="79"/>
      <c r="R36" s="76"/>
      <c r="S36" s="76"/>
      <c r="T36" s="56"/>
      <c r="U36" s="82"/>
      <c r="V36" s="87"/>
      <c r="W36" s="84"/>
      <c r="X36" s="83"/>
      <c r="Y36" s="88">
        <f t="shared" si="3"/>
        <v>0</v>
      </c>
      <c r="Z36" s="83"/>
      <c r="AA36" s="56"/>
    </row>
    <row r="37" spans="3:30" s="49" customFormat="1" hidden="1" x14ac:dyDescent="0.25">
      <c r="C37" s="245"/>
      <c r="D37" s="249"/>
      <c r="E37" s="246"/>
      <c r="F37" s="249"/>
      <c r="G37" s="75"/>
      <c r="H37" s="76"/>
      <c r="I37" s="247"/>
      <c r="J37" s="249"/>
      <c r="K37" s="78"/>
      <c r="L37" s="248"/>
      <c r="M37" s="249"/>
      <c r="N37" s="77"/>
      <c r="O37" s="76"/>
      <c r="P37" s="76"/>
      <c r="Q37" s="79"/>
      <c r="R37" s="76"/>
      <c r="S37" s="76"/>
      <c r="T37" s="56"/>
      <c r="U37" s="82"/>
      <c r="V37" s="87"/>
      <c r="W37" s="84"/>
      <c r="X37" s="83"/>
      <c r="Y37" s="88">
        <f t="shared" si="3"/>
        <v>0</v>
      </c>
      <c r="Z37" s="83"/>
      <c r="AA37" s="56"/>
    </row>
    <row r="38" spans="3:30" s="49" customFormat="1" hidden="1" x14ac:dyDescent="0.25">
      <c r="C38" s="245"/>
      <c r="D38" s="249"/>
      <c r="E38" s="246"/>
      <c r="F38" s="249"/>
      <c r="G38" s="75"/>
      <c r="H38" s="76"/>
      <c r="I38" s="247"/>
      <c r="J38" s="249"/>
      <c r="K38" s="78"/>
      <c r="L38" s="248"/>
      <c r="M38" s="249"/>
      <c r="N38" s="77"/>
      <c r="O38" s="76"/>
      <c r="P38" s="76"/>
      <c r="Q38" s="79"/>
      <c r="R38" s="76"/>
      <c r="S38" s="76"/>
      <c r="T38" s="56"/>
      <c r="U38" s="82"/>
      <c r="V38" s="87"/>
      <c r="W38" s="84"/>
      <c r="X38" s="83"/>
      <c r="Y38" s="88">
        <f t="shared" si="3"/>
        <v>0</v>
      </c>
      <c r="Z38" s="83"/>
      <c r="AA38" s="56"/>
    </row>
    <row r="39" spans="3:30" s="49" customFormat="1" hidden="1" x14ac:dyDescent="0.25">
      <c r="C39" s="245"/>
      <c r="D39" s="249"/>
      <c r="E39" s="246"/>
      <c r="F39" s="249"/>
      <c r="G39" s="75"/>
      <c r="H39" s="76"/>
      <c r="I39" s="247"/>
      <c r="J39" s="249"/>
      <c r="K39" s="78"/>
      <c r="L39" s="248"/>
      <c r="M39" s="249"/>
      <c r="N39" s="77"/>
      <c r="O39" s="76"/>
      <c r="P39" s="76"/>
      <c r="Q39" s="79"/>
      <c r="R39" s="76"/>
      <c r="S39" s="76"/>
      <c r="T39" s="56"/>
      <c r="U39" s="82"/>
      <c r="V39" s="87"/>
      <c r="W39" s="84"/>
      <c r="X39" s="83"/>
      <c r="Y39" s="88">
        <f t="shared" si="3"/>
        <v>0</v>
      </c>
      <c r="Z39" s="83"/>
      <c r="AA39" s="56"/>
    </row>
    <row r="40" spans="3:30" s="49" customFormat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si="3"/>
        <v>0</v>
      </c>
      <c r="Z41" s="83"/>
      <c r="AA41" s="56"/>
    </row>
    <row r="42" spans="3:30" s="49" customFormat="1" ht="12.75" x14ac:dyDescent="0.2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3"/>
        <v>0</v>
      </c>
      <c r="Z42" s="83"/>
      <c r="AA42" s="56"/>
      <c r="AB42" s="56"/>
    </row>
    <row r="43" spans="3:30" s="49" customFormat="1" ht="12.75" x14ac:dyDescent="0.2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50355882</v>
      </c>
      <c r="P43" s="76">
        <v>50355882</v>
      </c>
      <c r="Q43" s="80"/>
      <c r="R43" s="76">
        <v>348549</v>
      </c>
      <c r="S43" s="76">
        <v>50007333</v>
      </c>
      <c r="T43" s="56"/>
      <c r="U43" s="82"/>
      <c r="V43" s="83"/>
      <c r="W43" s="84"/>
      <c r="X43" s="83"/>
      <c r="Y43" s="88">
        <f t="shared" si="3"/>
        <v>0</v>
      </c>
      <c r="Z43" s="83"/>
      <c r="AA43" s="56"/>
      <c r="AB43" s="56"/>
    </row>
    <row r="44" spans="3:30" s="49" customFormat="1" ht="12.7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3"/>
        <v>0</v>
      </c>
      <c r="Z44" s="83"/>
      <c r="AA44" s="56"/>
      <c r="AB44" s="56"/>
    </row>
    <row r="45" spans="3:30" s="49" customFormat="1" ht="12.7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2.75" x14ac:dyDescent="0.2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50355882</v>
      </c>
      <c r="P46" s="76">
        <f>+SUM(P10:P40)</f>
        <v>50355882</v>
      </c>
      <c r="Q46" s="80"/>
      <c r="R46" s="76">
        <f>+SUM(R10:R40)</f>
        <v>348549.16</v>
      </c>
      <c r="S46" s="76">
        <f>+SUM(S10:S40)</f>
        <v>50007333</v>
      </c>
      <c r="U46" s="82"/>
      <c r="V46" s="91">
        <f>SUM(V10:V41)</f>
        <v>348549.16</v>
      </c>
      <c r="W46" s="91">
        <f>SUM(W10:W42)</f>
        <v>50007332.839999996</v>
      </c>
      <c r="X46" s="56"/>
      <c r="Y46" s="91">
        <f>SUM(Y10:Y41)</f>
        <v>348549.15040000004</v>
      </c>
      <c r="Z46" s="91">
        <f>$AA$7*$AA$8*1.19</f>
        <v>69608.355040000009</v>
      </c>
      <c r="AA46" s="91">
        <f>+Y46+Z46</f>
        <v>418157.50544000004</v>
      </c>
      <c r="AB46" s="92">
        <f>+W46-Z46</f>
        <v>49937724.484959997</v>
      </c>
      <c r="AD46" s="56" t="s">
        <v>373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F2:M2"/>
    <mergeCell ref="C9:D9"/>
    <mergeCell ref="E9:F9"/>
    <mergeCell ref="I9:J9"/>
    <mergeCell ref="L9:M9"/>
    <mergeCell ref="C10:D10"/>
    <mergeCell ref="E10:F10"/>
    <mergeCell ref="I10:J10"/>
    <mergeCell ref="L10:M10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C20:D20"/>
    <mergeCell ref="E20:F20"/>
    <mergeCell ref="I20:J20"/>
    <mergeCell ref="L20:M20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37:D37"/>
    <mergeCell ref="E37:F37"/>
    <mergeCell ref="I37:J37"/>
    <mergeCell ref="L37:M37"/>
    <mergeCell ref="C38:D38"/>
    <mergeCell ref="E38:F38"/>
    <mergeCell ref="I38:J38"/>
    <mergeCell ref="L38:M38"/>
    <mergeCell ref="C35:D35"/>
    <mergeCell ref="E35:F35"/>
    <mergeCell ref="I35:J35"/>
    <mergeCell ref="L35:M35"/>
    <mergeCell ref="C36:D36"/>
    <mergeCell ref="E36:F36"/>
    <mergeCell ref="I36:J36"/>
    <mergeCell ref="L36:M36"/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32497-5D2F-4AA2-B98E-B2CFEBDAD27F}">
  <dimension ref="A1:M14"/>
  <sheetViews>
    <sheetView workbookViewId="0">
      <selection activeCell="G21" sqref="G21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383</v>
      </c>
      <c r="F2" s="120" t="s">
        <v>384</v>
      </c>
      <c r="G2" s="120" t="s">
        <v>385</v>
      </c>
      <c r="H2" s="120" t="s">
        <v>386</v>
      </c>
      <c r="I2" s="200">
        <v>6928964</v>
      </c>
      <c r="J2" s="120" t="s">
        <v>83</v>
      </c>
      <c r="K2" s="120" t="s">
        <v>84</v>
      </c>
      <c r="L2" s="120" t="s">
        <v>387</v>
      </c>
      <c r="M2" s="124">
        <f t="shared" ref="M2:M4" si="0">+I2/1.19</f>
        <v>5822658.823529412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391</v>
      </c>
      <c r="F3" s="120" t="s">
        <v>392</v>
      </c>
      <c r="G3" s="120" t="s">
        <v>385</v>
      </c>
      <c r="H3" s="120" t="s">
        <v>386</v>
      </c>
      <c r="I3" s="200">
        <v>2771586</v>
      </c>
      <c r="J3" s="120" t="s">
        <v>83</v>
      </c>
      <c r="K3" s="120" t="s">
        <v>84</v>
      </c>
      <c r="L3" s="120" t="s">
        <v>393</v>
      </c>
      <c r="M3" s="124">
        <f t="shared" si="0"/>
        <v>2329063.8655462186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388</v>
      </c>
      <c r="F4" s="120" t="s">
        <v>389</v>
      </c>
      <c r="G4" s="120" t="s">
        <v>385</v>
      </c>
      <c r="H4" s="120" t="s">
        <v>386</v>
      </c>
      <c r="I4" s="200">
        <v>5543170</v>
      </c>
      <c r="J4" s="120" t="s">
        <v>83</v>
      </c>
      <c r="K4" s="120" t="s">
        <v>84</v>
      </c>
      <c r="L4" s="120" t="s">
        <v>390</v>
      </c>
      <c r="M4" s="124">
        <f t="shared" si="0"/>
        <v>4658126.0504201679</v>
      </c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315</v>
      </c>
      <c r="D7" s="93"/>
      <c r="E7" s="125"/>
      <c r="F7" s="93"/>
      <c r="G7" s="93"/>
      <c r="H7" s="93"/>
    </row>
    <row r="8" spans="1:13" x14ac:dyDescent="0.25">
      <c r="C8" s="125" t="s">
        <v>394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19283976</v>
      </c>
      <c r="E10" s="176" t="s">
        <v>395</v>
      </c>
      <c r="F10" s="129">
        <f>+M2</f>
        <v>5822658.823529412</v>
      </c>
      <c r="G10" s="189"/>
      <c r="H10" s="130">
        <f>+G10-F10</f>
        <v>-5822658.823529412</v>
      </c>
    </row>
    <row r="11" spans="1:13" x14ac:dyDescent="0.25">
      <c r="C11" s="121">
        <v>0.08</v>
      </c>
      <c r="D11" s="127">
        <v>19287165</v>
      </c>
      <c r="E11" s="176" t="str">
        <f>+E10</f>
        <v>F</v>
      </c>
      <c r="F11" s="129">
        <f>+M4</f>
        <v>4658126.0504201679</v>
      </c>
      <c r="G11" s="130"/>
      <c r="H11" s="130">
        <f>+G11-F11</f>
        <v>-4658126.0504201679</v>
      </c>
    </row>
    <row r="12" spans="1:13" x14ac:dyDescent="0.25">
      <c r="C12" s="121">
        <v>0.04</v>
      </c>
      <c r="D12" s="127">
        <v>19286657</v>
      </c>
      <c r="E12" s="176" t="str">
        <f>+E11</f>
        <v>F</v>
      </c>
      <c r="F12" s="129">
        <f>+M3</f>
        <v>2329063.8655462186</v>
      </c>
      <c r="G12" s="130"/>
      <c r="H12" s="130">
        <f t="shared" ref="H12" si="1">+G12-F12</f>
        <v>-2329063.8655462186</v>
      </c>
    </row>
    <row r="13" spans="1:13" x14ac:dyDescent="0.25">
      <c r="C13" s="133" t="s">
        <v>91</v>
      </c>
      <c r="D13" s="133"/>
      <c r="E13" s="133"/>
      <c r="F13" s="134">
        <f>+SUM(F10:F12)</f>
        <v>12809848.739495799</v>
      </c>
      <c r="G13" s="134">
        <f>+SUM(G10:G12)</f>
        <v>0</v>
      </c>
      <c r="H13" s="134">
        <f>+SUM(H10:H12)</f>
        <v>-12809848.739495799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12809848.739495799</v>
      </c>
      <c r="H14" s="1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915D-F4CF-4967-A761-11BF91ADFC69}">
  <sheetPr>
    <tabColor theme="9" tint="-0.249977111117893"/>
  </sheetPr>
  <dimension ref="C2:AD53"/>
  <sheetViews>
    <sheetView zoomScale="85" zoomScaleNormal="85" workbookViewId="0">
      <selection activeCell="AA50" sqref="A50:AA50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43603144</v>
      </c>
      <c r="I4" s="60"/>
      <c r="J4" s="59" t="s">
        <v>36</v>
      </c>
      <c r="K4" s="62">
        <v>69553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314506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374</v>
      </c>
      <c r="E6" s="64"/>
      <c r="F6" s="63"/>
      <c r="G6" s="63" t="s">
        <v>46</v>
      </c>
      <c r="H6" s="66">
        <v>43288638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903835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43219085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36529.83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374</v>
      </c>
      <c r="H10" s="76">
        <v>1230737950</v>
      </c>
      <c r="I10" s="247" t="s">
        <v>68</v>
      </c>
      <c r="J10" s="249"/>
      <c r="K10" s="78" t="s">
        <v>375</v>
      </c>
      <c r="L10" s="248" t="s">
        <v>355</v>
      </c>
      <c r="M10" s="249"/>
      <c r="N10" s="77" t="s">
        <v>376</v>
      </c>
      <c r="O10" s="76">
        <v>-6203265</v>
      </c>
      <c r="P10" s="76">
        <v>-6203265</v>
      </c>
      <c r="Q10" s="79" t="s">
        <v>327</v>
      </c>
      <c r="R10" s="76">
        <v>-37963.980000000003</v>
      </c>
      <c r="S10" s="76">
        <v>-6165301</v>
      </c>
      <c r="T10" s="56"/>
      <c r="U10" s="82">
        <f t="shared" ref="U10:U14" si="0">+R10/P10</f>
        <v>6.1199997098302268E-3</v>
      </c>
      <c r="V10" s="87">
        <f t="shared" ref="V10:V14" si="1">+U10*P10</f>
        <v>-37963.980000000003</v>
      </c>
      <c r="W10" s="84">
        <f t="shared" ref="W10:W14" si="2">+P10-V10</f>
        <v>-6165301.0199999996</v>
      </c>
      <c r="X10" s="84"/>
      <c r="Y10" s="88">
        <f>+Q10%*(N10/30)*P10</f>
        <v>-37963.981800000001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374</v>
      </c>
      <c r="H11" s="76">
        <v>1230737950</v>
      </c>
      <c r="I11" s="247" t="s">
        <v>68</v>
      </c>
      <c r="J11" s="249"/>
      <c r="K11" s="78" t="s">
        <v>377</v>
      </c>
      <c r="L11" s="248" t="s">
        <v>355</v>
      </c>
      <c r="M11" s="249"/>
      <c r="N11" s="77" t="s">
        <v>376</v>
      </c>
      <c r="O11" s="76">
        <v>-2481306</v>
      </c>
      <c r="P11" s="76">
        <v>-2481306</v>
      </c>
      <c r="Q11" s="79" t="s">
        <v>327</v>
      </c>
      <c r="R11" s="76">
        <v>-15185.59</v>
      </c>
      <c r="S11" s="76">
        <v>-2466120</v>
      </c>
      <c r="T11" s="56"/>
      <c r="U11" s="82">
        <f t="shared" si="0"/>
        <v>6.1199989038030781E-3</v>
      </c>
      <c r="V11" s="87">
        <f t="shared" si="1"/>
        <v>-15185.59</v>
      </c>
      <c r="W11" s="84">
        <f t="shared" si="2"/>
        <v>-2466120.41</v>
      </c>
      <c r="X11" s="84"/>
      <c r="Y11" s="88">
        <f t="shared" ref="Y11:Y44" si="3">+Q11%*(N11/30)*P11</f>
        <v>-15185.592720000001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374</v>
      </c>
      <c r="H12" s="76">
        <v>1230737950</v>
      </c>
      <c r="I12" s="247" t="s">
        <v>68</v>
      </c>
      <c r="J12" s="249"/>
      <c r="K12" s="78" t="s">
        <v>378</v>
      </c>
      <c r="L12" s="248" t="s">
        <v>355</v>
      </c>
      <c r="M12" s="249"/>
      <c r="N12" s="77" t="s">
        <v>376</v>
      </c>
      <c r="O12" s="76">
        <v>-4962613</v>
      </c>
      <c r="P12" s="76">
        <v>-4962613</v>
      </c>
      <c r="Q12" s="79" t="s">
        <v>327</v>
      </c>
      <c r="R12" s="76">
        <v>-30371.19</v>
      </c>
      <c r="S12" s="76">
        <v>-4932242</v>
      </c>
      <c r="T12" s="56"/>
      <c r="U12" s="82">
        <f t="shared" si="0"/>
        <v>6.1199996856494748E-3</v>
      </c>
      <c r="V12" s="87">
        <f t="shared" si="1"/>
        <v>-30371.19</v>
      </c>
      <c r="W12" s="84">
        <f t="shared" si="2"/>
        <v>-4932241.8099999996</v>
      </c>
      <c r="X12" s="83"/>
      <c r="Y12" s="88">
        <f t="shared" si="3"/>
        <v>-30371.191560000003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374</v>
      </c>
      <c r="H13" s="76">
        <v>1230737950</v>
      </c>
      <c r="I13" s="247" t="s">
        <v>69</v>
      </c>
      <c r="J13" s="249"/>
      <c r="K13" s="78" t="s">
        <v>379</v>
      </c>
      <c r="L13" s="248" t="s">
        <v>355</v>
      </c>
      <c r="M13" s="249"/>
      <c r="N13" s="77" t="s">
        <v>376</v>
      </c>
      <c r="O13" s="76">
        <v>22210231</v>
      </c>
      <c r="P13" s="76">
        <v>22210231</v>
      </c>
      <c r="Q13" s="79" t="s">
        <v>327</v>
      </c>
      <c r="R13" s="76">
        <v>135926.60999999999</v>
      </c>
      <c r="S13" s="76">
        <v>22074304</v>
      </c>
      <c r="T13" s="56"/>
      <c r="U13" s="82">
        <f t="shared" si="0"/>
        <v>6.1199998325096204E-3</v>
      </c>
      <c r="V13" s="87">
        <f t="shared" si="1"/>
        <v>135926.60999999999</v>
      </c>
      <c r="W13" s="84">
        <f t="shared" si="2"/>
        <v>22074304.390000001</v>
      </c>
      <c r="X13" s="83"/>
      <c r="Y13" s="88">
        <f t="shared" si="3"/>
        <v>135926.61372000002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374</v>
      </c>
      <c r="H14" s="76">
        <v>1230737951</v>
      </c>
      <c r="I14" s="247" t="s">
        <v>69</v>
      </c>
      <c r="J14" s="249"/>
      <c r="K14" s="78" t="s">
        <v>380</v>
      </c>
      <c r="L14" s="248" t="s">
        <v>381</v>
      </c>
      <c r="M14" s="249"/>
      <c r="N14" s="77" t="s">
        <v>97</v>
      </c>
      <c r="O14" s="76">
        <v>35040097</v>
      </c>
      <c r="P14" s="76">
        <v>35040097</v>
      </c>
      <c r="Q14" s="79" t="s">
        <v>327</v>
      </c>
      <c r="R14" s="76">
        <v>262099.93</v>
      </c>
      <c r="S14" s="76">
        <v>34777997</v>
      </c>
      <c r="T14" s="56"/>
      <c r="U14" s="82">
        <f t="shared" si="0"/>
        <v>7.4800001267119774E-3</v>
      </c>
      <c r="V14" s="87">
        <f t="shared" si="1"/>
        <v>262099.93</v>
      </c>
      <c r="W14" s="84">
        <f t="shared" si="2"/>
        <v>34777997.07</v>
      </c>
      <c r="X14" s="83"/>
      <c r="Y14" s="88">
        <f t="shared" si="3"/>
        <v>262099.92555999997</v>
      </c>
      <c r="Z14" s="83"/>
      <c r="AA14" s="56"/>
    </row>
    <row r="15" spans="3:27" s="49" customFormat="1" x14ac:dyDescent="0.25">
      <c r="C15" s="245"/>
      <c r="D15" s="249"/>
      <c r="E15" s="246"/>
      <c r="F15" s="249"/>
      <c r="G15" s="75"/>
      <c r="H15" s="76"/>
      <c r="I15" s="247"/>
      <c r="J15" s="249"/>
      <c r="K15" s="78"/>
      <c r="L15" s="248"/>
      <c r="M15" s="249"/>
      <c r="N15" s="77"/>
      <c r="O15" s="76"/>
      <c r="P15" s="76"/>
      <c r="Q15" s="79"/>
      <c r="R15" s="76"/>
      <c r="S15" s="76"/>
      <c r="T15" s="56"/>
      <c r="U15" s="82"/>
      <c r="V15" s="87"/>
      <c r="W15" s="84"/>
      <c r="X15" s="83"/>
      <c r="Y15" s="88">
        <f t="shared" si="3"/>
        <v>0</v>
      </c>
      <c r="Z15" s="83"/>
      <c r="AA15" s="56"/>
    </row>
    <row r="16" spans="3:27" s="49" customFormat="1" ht="12.75" hidden="1" x14ac:dyDescent="0.2">
      <c r="C16" s="245"/>
      <c r="D16" s="243"/>
      <c r="E16" s="246"/>
      <c r="F16" s="243"/>
      <c r="G16" s="75"/>
      <c r="H16" s="76"/>
      <c r="I16" s="247"/>
      <c r="J16" s="243"/>
      <c r="K16" s="78"/>
      <c r="L16" s="248"/>
      <c r="M16" s="243"/>
      <c r="N16" s="77"/>
      <c r="O16" s="76"/>
      <c r="P16" s="76"/>
      <c r="Q16" s="79"/>
      <c r="R16" s="76"/>
      <c r="S16" s="76"/>
      <c r="T16" s="56"/>
      <c r="U16" s="82"/>
      <c r="V16" s="87"/>
      <c r="W16" s="84"/>
      <c r="X16" s="83"/>
      <c r="Y16" s="88">
        <f t="shared" si="3"/>
        <v>0</v>
      </c>
      <c r="Z16" s="83"/>
      <c r="AA16" s="56"/>
    </row>
    <row r="17" spans="3:27" s="49" customFormat="1" hidden="1" x14ac:dyDescent="0.25">
      <c r="C17" s="245"/>
      <c r="D17" s="249"/>
      <c r="E17" s="246"/>
      <c r="F17" s="249"/>
      <c r="G17" s="75"/>
      <c r="H17" s="76"/>
      <c r="I17" s="247"/>
      <c r="J17" s="249"/>
      <c r="K17" s="78"/>
      <c r="L17" s="248"/>
      <c r="M17" s="249"/>
      <c r="N17" s="77"/>
      <c r="O17" s="76"/>
      <c r="P17" s="76"/>
      <c r="Q17" s="79"/>
      <c r="R17" s="76"/>
      <c r="S17" s="76"/>
      <c r="T17" s="56"/>
      <c r="U17" s="82"/>
      <c r="V17" s="87"/>
      <c r="W17" s="84"/>
      <c r="X17" s="83"/>
      <c r="Y17" s="88">
        <f t="shared" si="3"/>
        <v>0</v>
      </c>
      <c r="Z17" s="83"/>
      <c r="AA17" s="56"/>
    </row>
    <row r="18" spans="3:27" s="49" customFormat="1" hidden="1" x14ac:dyDescent="0.25">
      <c r="C18" s="245"/>
      <c r="D18" s="249"/>
      <c r="E18" s="246"/>
      <c r="F18" s="249"/>
      <c r="G18" s="75"/>
      <c r="H18" s="76"/>
      <c r="I18" s="247"/>
      <c r="J18" s="249"/>
      <c r="K18" s="78"/>
      <c r="L18" s="248"/>
      <c r="M18" s="249"/>
      <c r="N18" s="77"/>
      <c r="O18" s="76"/>
      <c r="P18" s="76"/>
      <c r="Q18" s="79"/>
      <c r="R18" s="76"/>
      <c r="S18" s="76"/>
      <c r="T18" s="56"/>
      <c r="U18" s="82"/>
      <c r="V18" s="87"/>
      <c r="W18" s="84"/>
      <c r="X18" s="83"/>
      <c r="Y18" s="88">
        <f t="shared" si="3"/>
        <v>0</v>
      </c>
      <c r="Z18" s="83"/>
      <c r="AA18" s="56"/>
    </row>
    <row r="19" spans="3:27" s="49" customFormat="1" hidden="1" x14ac:dyDescent="0.25">
      <c r="C19" s="245"/>
      <c r="D19" s="249"/>
      <c r="E19" s="246"/>
      <c r="F19" s="249"/>
      <c r="G19" s="75"/>
      <c r="H19" s="76"/>
      <c r="I19" s="247"/>
      <c r="J19" s="249"/>
      <c r="K19" s="78"/>
      <c r="L19" s="248"/>
      <c r="M19" s="249"/>
      <c r="N19" s="77"/>
      <c r="O19" s="76"/>
      <c r="P19" s="76"/>
      <c r="Q19" s="79"/>
      <c r="R19" s="76"/>
      <c r="S19" s="76"/>
      <c r="T19" s="56"/>
      <c r="U19" s="82"/>
      <c r="V19" s="87"/>
      <c r="W19" s="84"/>
      <c r="X19" s="83"/>
      <c r="Y19" s="88">
        <f t="shared" si="3"/>
        <v>0</v>
      </c>
      <c r="Z19" s="83"/>
      <c r="AA19" s="56"/>
    </row>
    <row r="20" spans="3:27" s="49" customFormat="1" hidden="1" x14ac:dyDescent="0.25">
      <c r="C20" s="245"/>
      <c r="D20" s="249"/>
      <c r="E20" s="246"/>
      <c r="F20" s="249"/>
      <c r="G20" s="75"/>
      <c r="H20" s="76"/>
      <c r="I20" s="247"/>
      <c r="J20" s="249"/>
      <c r="K20" s="78"/>
      <c r="L20" s="248"/>
      <c r="M20" s="249"/>
      <c r="N20" s="77"/>
      <c r="O20" s="76"/>
      <c r="P20" s="76"/>
      <c r="Q20" s="79"/>
      <c r="R20" s="76"/>
      <c r="S20" s="76"/>
      <c r="T20" s="56"/>
      <c r="U20" s="82"/>
      <c r="V20" s="87"/>
      <c r="W20" s="84"/>
      <c r="X20" s="83"/>
      <c r="Y20" s="88">
        <f t="shared" si="3"/>
        <v>0</v>
      </c>
      <c r="Z20" s="83"/>
      <c r="AA20" s="56"/>
    </row>
    <row r="21" spans="3:27" s="49" customFormat="1" hidden="1" x14ac:dyDescent="0.25">
      <c r="C21" s="245"/>
      <c r="D21" s="249"/>
      <c r="E21" s="246"/>
      <c r="F21" s="249"/>
      <c r="G21" s="75"/>
      <c r="H21" s="76"/>
      <c r="I21" s="247"/>
      <c r="J21" s="249"/>
      <c r="K21" s="78"/>
      <c r="L21" s="248"/>
      <c r="M21" s="249"/>
      <c r="N21" s="77"/>
      <c r="O21" s="76"/>
      <c r="P21" s="76"/>
      <c r="Q21" s="79"/>
      <c r="R21" s="76"/>
      <c r="S21" s="76"/>
      <c r="T21" s="56"/>
      <c r="U21" s="82"/>
      <c r="V21" s="87"/>
      <c r="W21" s="84"/>
      <c r="X21" s="83"/>
      <c r="Y21" s="88">
        <f t="shared" si="3"/>
        <v>0</v>
      </c>
      <c r="Z21" s="83"/>
      <c r="AA21" s="56"/>
    </row>
    <row r="22" spans="3:27" s="49" customFormat="1" hidden="1" x14ac:dyDescent="0.25">
      <c r="C22" s="245"/>
      <c r="D22" s="249"/>
      <c r="E22" s="246"/>
      <c r="F22" s="249"/>
      <c r="G22" s="75"/>
      <c r="H22" s="76"/>
      <c r="I22" s="247"/>
      <c r="J22" s="249"/>
      <c r="K22" s="78"/>
      <c r="L22" s="248"/>
      <c r="M22" s="249"/>
      <c r="N22" s="77"/>
      <c r="O22" s="76"/>
      <c r="P22" s="76"/>
      <c r="Q22" s="79"/>
      <c r="R22" s="76"/>
      <c r="S22" s="76"/>
      <c r="T22" s="56"/>
      <c r="U22" s="82"/>
      <c r="V22" s="87"/>
      <c r="W22" s="84"/>
      <c r="X22" s="83"/>
      <c r="Y22" s="88">
        <f t="shared" si="3"/>
        <v>0</v>
      </c>
      <c r="Z22" s="83"/>
      <c r="AA22" s="56"/>
    </row>
    <row r="23" spans="3:27" s="49" customFormat="1" hidden="1" x14ac:dyDescent="0.25">
      <c r="C23" s="245"/>
      <c r="D23" s="249"/>
      <c r="E23" s="246"/>
      <c r="F23" s="249"/>
      <c r="G23" s="75"/>
      <c r="H23" s="76"/>
      <c r="I23" s="247"/>
      <c r="J23" s="249"/>
      <c r="K23" s="78"/>
      <c r="L23" s="248"/>
      <c r="M23" s="249"/>
      <c r="N23" s="77"/>
      <c r="O23" s="76"/>
      <c r="P23" s="76"/>
      <c r="Q23" s="79"/>
      <c r="R23" s="76"/>
      <c r="S23" s="76"/>
      <c r="T23" s="56"/>
      <c r="U23" s="82"/>
      <c r="V23" s="87"/>
      <c r="W23" s="84"/>
      <c r="X23" s="83"/>
      <c r="Y23" s="88">
        <f t="shared" si="3"/>
        <v>0</v>
      </c>
      <c r="Z23" s="83"/>
      <c r="AA23" s="56"/>
    </row>
    <row r="24" spans="3:27" s="49" customFormat="1" hidden="1" x14ac:dyDescent="0.25">
      <c r="C24" s="245"/>
      <c r="D24" s="249"/>
      <c r="E24" s="246"/>
      <c r="F24" s="249"/>
      <c r="G24" s="75"/>
      <c r="H24" s="76"/>
      <c r="I24" s="247"/>
      <c r="J24" s="249"/>
      <c r="K24" s="78"/>
      <c r="L24" s="248"/>
      <c r="M24" s="249"/>
      <c r="N24" s="77"/>
      <c r="O24" s="76"/>
      <c r="P24" s="76"/>
      <c r="Q24" s="79"/>
      <c r="R24" s="76"/>
      <c r="S24" s="76"/>
      <c r="T24" s="56"/>
      <c r="U24" s="82"/>
      <c r="V24" s="87"/>
      <c r="W24" s="84"/>
      <c r="X24" s="83"/>
      <c r="Y24" s="88">
        <f t="shared" si="3"/>
        <v>0</v>
      </c>
      <c r="Z24" s="83"/>
      <c r="AA24" s="56"/>
    </row>
    <row r="25" spans="3:27" s="49" customFormat="1" hidden="1" x14ac:dyDescent="0.25">
      <c r="C25" s="245"/>
      <c r="D25" s="249"/>
      <c r="E25" s="246"/>
      <c r="F25" s="249"/>
      <c r="G25" s="75"/>
      <c r="H25" s="76"/>
      <c r="I25" s="247"/>
      <c r="J25" s="249"/>
      <c r="K25" s="78"/>
      <c r="L25" s="248"/>
      <c r="M25" s="249"/>
      <c r="N25" s="77"/>
      <c r="O25" s="76"/>
      <c r="P25" s="76"/>
      <c r="Q25" s="79"/>
      <c r="R25" s="76"/>
      <c r="S25" s="76"/>
      <c r="T25" s="56"/>
      <c r="U25" s="82"/>
      <c r="V25" s="87"/>
      <c r="W25" s="84"/>
      <c r="X25" s="83"/>
      <c r="Y25" s="88">
        <f t="shared" si="3"/>
        <v>0</v>
      </c>
      <c r="Z25" s="83"/>
      <c r="AA25" s="56"/>
    </row>
    <row r="26" spans="3:27" s="49" customFormat="1" hidden="1" x14ac:dyDescent="0.25">
      <c r="C26" s="245"/>
      <c r="D26" s="249"/>
      <c r="E26" s="246"/>
      <c r="F26" s="249"/>
      <c r="G26" s="75"/>
      <c r="H26" s="76"/>
      <c r="I26" s="247"/>
      <c r="J26" s="249"/>
      <c r="K26" s="78"/>
      <c r="L26" s="248"/>
      <c r="M26" s="249"/>
      <c r="N26" s="77"/>
      <c r="O26" s="76"/>
      <c r="P26" s="76"/>
      <c r="Q26" s="79"/>
      <c r="R26" s="76"/>
      <c r="S26" s="76"/>
      <c r="T26" s="56"/>
      <c r="U26" s="82"/>
      <c r="V26" s="87"/>
      <c r="W26" s="84"/>
      <c r="X26" s="83"/>
      <c r="Y26" s="88">
        <f t="shared" si="3"/>
        <v>0</v>
      </c>
      <c r="Z26" s="83"/>
      <c r="AA26" s="56"/>
    </row>
    <row r="27" spans="3:27" s="49" customFormat="1" hidden="1" x14ac:dyDescent="0.25">
      <c r="C27" s="245"/>
      <c r="D27" s="249"/>
      <c r="E27" s="246"/>
      <c r="F27" s="249"/>
      <c r="G27" s="75"/>
      <c r="H27" s="76"/>
      <c r="I27" s="247"/>
      <c r="J27" s="249"/>
      <c r="K27" s="78"/>
      <c r="L27" s="248"/>
      <c r="M27" s="249"/>
      <c r="N27" s="77"/>
      <c r="O27" s="76"/>
      <c r="P27" s="76"/>
      <c r="Q27" s="79"/>
      <c r="R27" s="76"/>
      <c r="S27" s="76"/>
      <c r="T27" s="56"/>
      <c r="U27" s="82"/>
      <c r="V27" s="87"/>
      <c r="W27" s="84"/>
      <c r="X27" s="83"/>
      <c r="Y27" s="88">
        <f t="shared" si="3"/>
        <v>0</v>
      </c>
      <c r="Z27" s="83"/>
      <c r="AA27" s="56"/>
    </row>
    <row r="28" spans="3:27" s="49" customFormat="1" hidden="1" x14ac:dyDescent="0.25">
      <c r="C28" s="245"/>
      <c r="D28" s="249"/>
      <c r="E28" s="246"/>
      <c r="F28" s="249"/>
      <c r="G28" s="75"/>
      <c r="H28" s="76"/>
      <c r="I28" s="247"/>
      <c r="J28" s="249"/>
      <c r="K28" s="78"/>
      <c r="L28" s="248"/>
      <c r="M28" s="249"/>
      <c r="N28" s="77"/>
      <c r="O28" s="76"/>
      <c r="P28" s="76"/>
      <c r="Q28" s="79"/>
      <c r="R28" s="76"/>
      <c r="S28" s="76"/>
      <c r="T28" s="56"/>
      <c r="U28" s="82"/>
      <c r="V28" s="87"/>
      <c r="W28" s="84"/>
      <c r="X28" s="83"/>
      <c r="Y28" s="88">
        <f t="shared" si="3"/>
        <v>0</v>
      </c>
      <c r="Z28" s="83"/>
      <c r="AA28" s="56"/>
    </row>
    <row r="29" spans="3:27" s="49" customFormat="1" hidden="1" x14ac:dyDescent="0.25">
      <c r="C29" s="245"/>
      <c r="D29" s="249"/>
      <c r="E29" s="246"/>
      <c r="F29" s="249"/>
      <c r="G29" s="75"/>
      <c r="H29" s="76"/>
      <c r="I29" s="247"/>
      <c r="J29" s="249"/>
      <c r="K29" s="78"/>
      <c r="L29" s="248"/>
      <c r="M29" s="249"/>
      <c r="N29" s="77"/>
      <c r="O29" s="76"/>
      <c r="P29" s="76"/>
      <c r="Q29" s="79"/>
      <c r="R29" s="76"/>
      <c r="S29" s="76"/>
      <c r="T29" s="56"/>
      <c r="U29" s="82"/>
      <c r="V29" s="87"/>
      <c r="W29" s="84"/>
      <c r="X29" s="83"/>
      <c r="Y29" s="88">
        <f t="shared" si="3"/>
        <v>0</v>
      </c>
      <c r="Z29" s="83"/>
      <c r="AA29" s="56"/>
    </row>
    <row r="30" spans="3:27" s="49" customFormat="1" hidden="1" x14ac:dyDescent="0.25">
      <c r="C30" s="245"/>
      <c r="D30" s="249"/>
      <c r="E30" s="246"/>
      <c r="F30" s="249"/>
      <c r="G30" s="75"/>
      <c r="H30" s="76"/>
      <c r="I30" s="247"/>
      <c r="J30" s="249"/>
      <c r="K30" s="78"/>
      <c r="L30" s="248"/>
      <c r="M30" s="249"/>
      <c r="N30" s="77"/>
      <c r="O30" s="76"/>
      <c r="P30" s="76"/>
      <c r="Q30" s="79"/>
      <c r="R30" s="76"/>
      <c r="S30" s="76"/>
      <c r="T30" s="56"/>
      <c r="U30" s="82"/>
      <c r="V30" s="87"/>
      <c r="W30" s="84"/>
      <c r="X30" s="83"/>
      <c r="Y30" s="88">
        <f t="shared" si="3"/>
        <v>0</v>
      </c>
      <c r="Z30" s="83"/>
      <c r="AA30" s="56"/>
    </row>
    <row r="31" spans="3:27" s="49" customFormat="1" hidden="1" x14ac:dyDescent="0.25">
      <c r="C31" s="245"/>
      <c r="D31" s="249"/>
      <c r="E31" s="246"/>
      <c r="F31" s="249"/>
      <c r="G31" s="75"/>
      <c r="H31" s="76"/>
      <c r="I31" s="247"/>
      <c r="J31" s="249"/>
      <c r="K31" s="78"/>
      <c r="L31" s="248"/>
      <c r="M31" s="249"/>
      <c r="N31" s="77"/>
      <c r="O31" s="76"/>
      <c r="P31" s="76"/>
      <c r="Q31" s="79"/>
      <c r="R31" s="76"/>
      <c r="S31" s="76"/>
      <c r="T31" s="56"/>
      <c r="U31" s="82"/>
      <c r="V31" s="87"/>
      <c r="W31" s="84"/>
      <c r="X31" s="83"/>
      <c r="Y31" s="88">
        <f t="shared" si="3"/>
        <v>0</v>
      </c>
      <c r="Z31" s="83"/>
      <c r="AA31" s="56"/>
    </row>
    <row r="32" spans="3:27" s="49" customFormat="1" ht="12.75" hidden="1" x14ac:dyDescent="0.2">
      <c r="C32" s="245"/>
      <c r="D32" s="243"/>
      <c r="E32" s="246"/>
      <c r="F32" s="243"/>
      <c r="G32" s="75"/>
      <c r="H32" s="76"/>
      <c r="I32" s="247"/>
      <c r="J32" s="243"/>
      <c r="K32" s="78"/>
      <c r="L32" s="248"/>
      <c r="M32" s="243"/>
      <c r="N32" s="77"/>
      <c r="O32" s="76"/>
      <c r="P32" s="76"/>
      <c r="Q32" s="79"/>
      <c r="R32" s="76"/>
      <c r="S32" s="76"/>
      <c r="T32" s="56"/>
      <c r="U32" s="82"/>
      <c r="V32" s="87"/>
      <c r="W32" s="84"/>
      <c r="X32" s="83"/>
      <c r="Y32" s="88">
        <f t="shared" si="3"/>
        <v>0</v>
      </c>
      <c r="Z32" s="83"/>
      <c r="AA32" s="56"/>
    </row>
    <row r="33" spans="3:30" s="49" customFormat="1" hidden="1" x14ac:dyDescent="0.25">
      <c r="C33" s="245"/>
      <c r="D33" s="249"/>
      <c r="E33" s="246"/>
      <c r="F33" s="249"/>
      <c r="G33" s="75"/>
      <c r="H33" s="76"/>
      <c r="I33" s="247"/>
      <c r="J33" s="249"/>
      <c r="K33" s="78"/>
      <c r="L33" s="248"/>
      <c r="M33" s="249"/>
      <c r="N33" s="77"/>
      <c r="O33" s="76"/>
      <c r="P33" s="76"/>
      <c r="Q33" s="79"/>
      <c r="R33" s="76"/>
      <c r="S33" s="76"/>
      <c r="T33" s="56"/>
      <c r="U33" s="82"/>
      <c r="V33" s="87"/>
      <c r="W33" s="84"/>
      <c r="X33" s="83"/>
      <c r="Y33" s="88">
        <f t="shared" si="3"/>
        <v>0</v>
      </c>
      <c r="Z33" s="83"/>
      <c r="AA33" s="56"/>
    </row>
    <row r="34" spans="3:30" s="49" customFormat="1" hidden="1" x14ac:dyDescent="0.25">
      <c r="C34" s="245"/>
      <c r="D34" s="249"/>
      <c r="E34" s="246"/>
      <c r="F34" s="249"/>
      <c r="G34" s="75"/>
      <c r="H34" s="76"/>
      <c r="I34" s="247"/>
      <c r="J34" s="249"/>
      <c r="K34" s="78"/>
      <c r="L34" s="248"/>
      <c r="M34" s="249"/>
      <c r="N34" s="77"/>
      <c r="O34" s="76"/>
      <c r="P34" s="76"/>
      <c r="Q34" s="79"/>
      <c r="R34" s="76"/>
      <c r="S34" s="76"/>
      <c r="T34" s="56"/>
      <c r="U34" s="82"/>
      <c r="V34" s="87"/>
      <c r="W34" s="84"/>
      <c r="X34" s="83"/>
      <c r="Y34" s="88">
        <f t="shared" si="3"/>
        <v>0</v>
      </c>
      <c r="Z34" s="83"/>
      <c r="AA34" s="56"/>
    </row>
    <row r="35" spans="3:30" s="49" customFormat="1" hidden="1" x14ac:dyDescent="0.25">
      <c r="C35" s="245"/>
      <c r="D35" s="249"/>
      <c r="E35" s="246"/>
      <c r="F35" s="249"/>
      <c r="G35" s="75"/>
      <c r="H35" s="76"/>
      <c r="I35" s="247"/>
      <c r="J35" s="249"/>
      <c r="K35" s="78"/>
      <c r="L35" s="248"/>
      <c r="M35" s="249"/>
      <c r="N35" s="77"/>
      <c r="O35" s="76"/>
      <c r="P35" s="76"/>
      <c r="Q35" s="79"/>
      <c r="R35" s="76"/>
      <c r="S35" s="76"/>
      <c r="T35" s="56"/>
      <c r="U35" s="82"/>
      <c r="V35" s="87"/>
      <c r="W35" s="84"/>
      <c r="X35" s="83"/>
      <c r="Y35" s="88">
        <f t="shared" si="3"/>
        <v>0</v>
      </c>
      <c r="Z35" s="83"/>
      <c r="AA35" s="56"/>
    </row>
    <row r="36" spans="3:30" s="49" customFormat="1" hidden="1" x14ac:dyDescent="0.25">
      <c r="C36" s="245"/>
      <c r="D36" s="249"/>
      <c r="E36" s="246"/>
      <c r="F36" s="249"/>
      <c r="G36" s="75"/>
      <c r="H36" s="76"/>
      <c r="I36" s="247"/>
      <c r="J36" s="249"/>
      <c r="K36" s="78"/>
      <c r="L36" s="248"/>
      <c r="M36" s="249"/>
      <c r="N36" s="77"/>
      <c r="O36" s="76"/>
      <c r="P36" s="76"/>
      <c r="Q36" s="79"/>
      <c r="R36" s="76"/>
      <c r="S36" s="76"/>
      <c r="T36" s="56"/>
      <c r="U36" s="82"/>
      <c r="V36" s="87"/>
      <c r="W36" s="84"/>
      <c r="X36" s="83"/>
      <c r="Y36" s="88">
        <f t="shared" si="3"/>
        <v>0</v>
      </c>
      <c r="Z36" s="83"/>
      <c r="AA36" s="56"/>
    </row>
    <row r="37" spans="3:30" s="49" customFormat="1" hidden="1" x14ac:dyDescent="0.25">
      <c r="C37" s="245"/>
      <c r="D37" s="249"/>
      <c r="E37" s="246"/>
      <c r="F37" s="249"/>
      <c r="G37" s="75"/>
      <c r="H37" s="76"/>
      <c r="I37" s="247"/>
      <c r="J37" s="249"/>
      <c r="K37" s="78"/>
      <c r="L37" s="248"/>
      <c r="M37" s="249"/>
      <c r="N37" s="77"/>
      <c r="O37" s="76"/>
      <c r="P37" s="76"/>
      <c r="Q37" s="79"/>
      <c r="R37" s="76"/>
      <c r="S37" s="76"/>
      <c r="T37" s="56"/>
      <c r="U37" s="82"/>
      <c r="V37" s="87"/>
      <c r="W37" s="84"/>
      <c r="X37" s="83"/>
      <c r="Y37" s="88">
        <f t="shared" si="3"/>
        <v>0</v>
      </c>
      <c r="Z37" s="83"/>
      <c r="AA37" s="56"/>
    </row>
    <row r="38" spans="3:30" s="49" customFormat="1" hidden="1" x14ac:dyDescent="0.25">
      <c r="C38" s="245"/>
      <c r="D38" s="249"/>
      <c r="E38" s="246"/>
      <c r="F38" s="249"/>
      <c r="G38" s="75"/>
      <c r="H38" s="76"/>
      <c r="I38" s="247"/>
      <c r="J38" s="249"/>
      <c r="K38" s="78"/>
      <c r="L38" s="248"/>
      <c r="M38" s="249"/>
      <c r="N38" s="77"/>
      <c r="O38" s="76"/>
      <c r="P38" s="76"/>
      <c r="Q38" s="79"/>
      <c r="R38" s="76"/>
      <c r="S38" s="76"/>
      <c r="T38" s="56"/>
      <c r="U38" s="82"/>
      <c r="V38" s="87"/>
      <c r="W38" s="84"/>
      <c r="X38" s="83"/>
      <c r="Y38" s="88">
        <f t="shared" si="3"/>
        <v>0</v>
      </c>
      <c r="Z38" s="83"/>
      <c r="AA38" s="56"/>
    </row>
    <row r="39" spans="3:30" s="49" customFormat="1" hidden="1" x14ac:dyDescent="0.25">
      <c r="C39" s="245"/>
      <c r="D39" s="249"/>
      <c r="E39" s="246"/>
      <c r="F39" s="249"/>
      <c r="G39" s="75"/>
      <c r="H39" s="76"/>
      <c r="I39" s="247"/>
      <c r="J39" s="249"/>
      <c r="K39" s="78"/>
      <c r="L39" s="248"/>
      <c r="M39" s="249"/>
      <c r="N39" s="77"/>
      <c r="O39" s="76"/>
      <c r="P39" s="76"/>
      <c r="Q39" s="79"/>
      <c r="R39" s="76"/>
      <c r="S39" s="76"/>
      <c r="T39" s="56"/>
      <c r="U39" s="82"/>
      <c r="V39" s="87"/>
      <c r="W39" s="84"/>
      <c r="X39" s="83"/>
      <c r="Y39" s="88">
        <f t="shared" si="3"/>
        <v>0</v>
      </c>
      <c r="Z39" s="83"/>
      <c r="AA39" s="56"/>
    </row>
    <row r="40" spans="3:30" s="49" customFormat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si="3"/>
        <v>0</v>
      </c>
      <c r="Z41" s="83"/>
      <c r="AA41" s="56"/>
    </row>
    <row r="42" spans="3:30" s="49" customFormat="1" ht="12.75" x14ac:dyDescent="0.2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3"/>
        <v>0</v>
      </c>
      <c r="Z42" s="83"/>
      <c r="AA42" s="56"/>
      <c r="AB42" s="56"/>
    </row>
    <row r="43" spans="3:30" s="49" customFormat="1" ht="12.75" x14ac:dyDescent="0.2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43603144</v>
      </c>
      <c r="P43" s="76">
        <v>43603144</v>
      </c>
      <c r="Q43" s="80"/>
      <c r="R43" s="76">
        <v>314506</v>
      </c>
      <c r="S43" s="76">
        <v>43288638</v>
      </c>
      <c r="T43" s="56"/>
      <c r="U43" s="82"/>
      <c r="V43" s="83"/>
      <c r="W43" s="84"/>
      <c r="X43" s="83"/>
      <c r="Y43" s="88">
        <f t="shared" si="3"/>
        <v>0</v>
      </c>
      <c r="Z43" s="83"/>
      <c r="AA43" s="56"/>
      <c r="AB43" s="56"/>
    </row>
    <row r="44" spans="3:30" s="49" customFormat="1" ht="12.7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3"/>
        <v>0</v>
      </c>
      <c r="Z44" s="83"/>
      <c r="AA44" s="56"/>
      <c r="AB44" s="56"/>
    </row>
    <row r="45" spans="3:30" s="49" customFormat="1" ht="12.7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2.75" x14ac:dyDescent="0.2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43603144</v>
      </c>
      <c r="P46" s="76">
        <f>+SUM(P10:P40)</f>
        <v>43603144</v>
      </c>
      <c r="Q46" s="80"/>
      <c r="R46" s="76">
        <f>+SUM(R10:R40)</f>
        <v>314505.77999999997</v>
      </c>
      <c r="S46" s="76">
        <f>+SUM(S10:S40)</f>
        <v>43288638</v>
      </c>
      <c r="U46" s="82"/>
      <c r="V46" s="91">
        <f>SUM(V10:V41)</f>
        <v>314505.77999999997</v>
      </c>
      <c r="W46" s="91">
        <f>SUM(W10:W42)</f>
        <v>43288638.219999999</v>
      </c>
      <c r="X46" s="56"/>
      <c r="Y46" s="91">
        <f>SUM(Y10:Y41)</f>
        <v>314505.7732</v>
      </c>
      <c r="Z46" s="91">
        <f>$AA$7*$AA$8*1.19</f>
        <v>69552.796319999994</v>
      </c>
      <c r="AA46" s="91">
        <f>+Y46+Z46</f>
        <v>384058.56952000002</v>
      </c>
      <c r="AB46" s="92">
        <f>+W46-Z46</f>
        <v>43219085.42368</v>
      </c>
      <c r="AD46" s="56" t="s">
        <v>373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F2:M2"/>
    <mergeCell ref="C9:D9"/>
    <mergeCell ref="E9:F9"/>
    <mergeCell ref="I9:J9"/>
    <mergeCell ref="L9:M9"/>
    <mergeCell ref="C10:D10"/>
    <mergeCell ref="E10:F10"/>
    <mergeCell ref="I10:J10"/>
    <mergeCell ref="L10:M10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C20:D20"/>
    <mergeCell ref="E20:F20"/>
    <mergeCell ref="I20:J20"/>
    <mergeCell ref="L20:M20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37:D37"/>
    <mergeCell ref="E37:F37"/>
    <mergeCell ref="I37:J37"/>
    <mergeCell ref="L37:M37"/>
    <mergeCell ref="C38:D38"/>
    <mergeCell ref="E38:F38"/>
    <mergeCell ref="I38:J38"/>
    <mergeCell ref="L38:M38"/>
    <mergeCell ref="C35:D35"/>
    <mergeCell ref="E35:F35"/>
    <mergeCell ref="I35:J35"/>
    <mergeCell ref="L35:M35"/>
    <mergeCell ref="C36:D36"/>
    <mergeCell ref="E36:F36"/>
    <mergeCell ref="I36:J36"/>
    <mergeCell ref="L36:M36"/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C9E-008C-4FBD-8993-4335F3ED43C9}">
  <dimension ref="A1:M14"/>
  <sheetViews>
    <sheetView workbookViewId="0">
      <selection activeCell="D18" sqref="D18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365</v>
      </c>
      <c r="F2" s="120" t="s">
        <v>366</v>
      </c>
      <c r="G2" s="120" t="s">
        <v>362</v>
      </c>
      <c r="H2" s="120" t="s">
        <v>363</v>
      </c>
      <c r="I2" s="200">
        <v>6203265</v>
      </c>
      <c r="J2" s="120" t="s">
        <v>83</v>
      </c>
      <c r="K2" s="120" t="s">
        <v>84</v>
      </c>
      <c r="L2" s="120" t="s">
        <v>369</v>
      </c>
      <c r="M2" s="124">
        <f t="shared" ref="M2:M4" si="0">+I2/1.19</f>
        <v>5212827.7310924372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367</v>
      </c>
      <c r="F3" s="120" t="s">
        <v>368</v>
      </c>
      <c r="G3" s="120" t="s">
        <v>362</v>
      </c>
      <c r="H3" s="120" t="s">
        <v>363</v>
      </c>
      <c r="I3" s="200">
        <v>2481306</v>
      </c>
      <c r="J3" s="120" t="s">
        <v>83</v>
      </c>
      <c r="K3" s="120" t="s">
        <v>84</v>
      </c>
      <c r="L3" s="120" t="s">
        <v>370</v>
      </c>
      <c r="M3" s="124">
        <f t="shared" si="0"/>
        <v>2085131.0924369749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360</v>
      </c>
      <c r="F4" s="120" t="s">
        <v>361</v>
      </c>
      <c r="G4" s="120" t="s">
        <v>362</v>
      </c>
      <c r="H4" s="120" t="s">
        <v>363</v>
      </c>
      <c r="I4" s="200">
        <v>4962613</v>
      </c>
      <c r="J4" s="120" t="s">
        <v>83</v>
      </c>
      <c r="K4" s="120" t="s">
        <v>84</v>
      </c>
      <c r="L4" s="120" t="s">
        <v>364</v>
      </c>
      <c r="M4" s="124">
        <f t="shared" si="0"/>
        <v>4170263.0252100844</v>
      </c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315</v>
      </c>
      <c r="D7" s="93"/>
      <c r="E7" s="125"/>
      <c r="F7" s="93"/>
      <c r="G7" s="93"/>
      <c r="H7" s="93"/>
    </row>
    <row r="8" spans="1:13" x14ac:dyDescent="0.25">
      <c r="C8" s="125" t="s">
        <v>371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19281508</v>
      </c>
      <c r="E10" s="176" t="s">
        <v>372</v>
      </c>
      <c r="F10" s="129">
        <f>+M2</f>
        <v>5212827.7310924372</v>
      </c>
      <c r="G10" s="189">
        <f>+'CTA CORRIENTE'!H113+'CTA CORRIENTE'!H119+'CTA CORRIENTE'!H123</f>
        <v>5212828.6521008406</v>
      </c>
      <c r="H10" s="130">
        <f>+G10-F10</f>
        <v>0.92100840341299772</v>
      </c>
    </row>
    <row r="11" spans="1:13" x14ac:dyDescent="0.25">
      <c r="C11" s="121">
        <v>0.08</v>
      </c>
      <c r="D11" s="127">
        <v>19281982</v>
      </c>
      <c r="E11" s="176" t="str">
        <f>+E10</f>
        <v>F1044-NC105-1045-NC106-1049</v>
      </c>
      <c r="F11" s="129">
        <f>+M4</f>
        <v>4170263.0252100844</v>
      </c>
      <c r="G11" s="130">
        <f>+'CTA CORRIENTE'!H114+'CTA CORRIENTE'!H120+'CTA CORRIENTE'!H124</f>
        <v>4170262.9216806721</v>
      </c>
      <c r="H11" s="130">
        <f>+G11-F11</f>
        <v>-0.10352941229939461</v>
      </c>
    </row>
    <row r="12" spans="1:13" x14ac:dyDescent="0.25">
      <c r="C12" s="121">
        <v>0.04</v>
      </c>
      <c r="D12" s="127">
        <v>19280792</v>
      </c>
      <c r="E12" s="176" t="str">
        <f>+E11</f>
        <v>F1044-NC105-1045-NC106-1049</v>
      </c>
      <c r="F12" s="129">
        <f>+M3</f>
        <v>2085131.0924369749</v>
      </c>
      <c r="G12" s="130">
        <f>+'CTA CORRIENTE'!H115+'CTA CORRIENTE'!H121+'CTA CORRIENTE'!H125</f>
        <v>2085131.460840336</v>
      </c>
      <c r="H12" s="130">
        <f t="shared" ref="H12" si="1">+G12-F12</f>
        <v>0.36840336117893457</v>
      </c>
    </row>
    <row r="13" spans="1:13" x14ac:dyDescent="0.25">
      <c r="C13" s="133" t="s">
        <v>91</v>
      </c>
      <c r="D13" s="133"/>
      <c r="E13" s="133"/>
      <c r="F13" s="134">
        <f>+SUM(F10:F12)</f>
        <v>11468221.848739496</v>
      </c>
      <c r="G13" s="134">
        <f>+SUM(G10:G12)</f>
        <v>11468223.03462185</v>
      </c>
      <c r="H13" s="134">
        <f>+SUM(H10:H12)</f>
        <v>1.1858823522925377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-1.1858823541551828</v>
      </c>
      <c r="H14" s="13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9A86-6FE8-4597-9D45-1629311B9FB2}">
  <sheetPr>
    <tabColor theme="9" tint="-0.249977111117893"/>
  </sheetPr>
  <dimension ref="C2:AD53"/>
  <sheetViews>
    <sheetView topLeftCell="H28" zoomScale="85" zoomScaleNormal="85" workbookViewId="0">
      <selection activeCell="AI39" sqref="AI39:AM39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88266504</v>
      </c>
      <c r="I4" s="60"/>
      <c r="J4" s="59" t="s">
        <v>36</v>
      </c>
      <c r="K4" s="62">
        <v>69479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645145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323</v>
      </c>
      <c r="E6" s="64"/>
      <c r="F6" s="63"/>
      <c r="G6" s="63" t="s">
        <v>46</v>
      </c>
      <c r="H6" s="66">
        <v>87621359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901519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87551880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36490.959999999999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323</v>
      </c>
      <c r="H10" s="76">
        <v>1230717508</v>
      </c>
      <c r="I10" s="247" t="s">
        <v>68</v>
      </c>
      <c r="J10" s="249"/>
      <c r="K10" s="78" t="s">
        <v>324</v>
      </c>
      <c r="L10" s="248" t="s">
        <v>325</v>
      </c>
      <c r="M10" s="249"/>
      <c r="N10" s="77" t="s">
        <v>326</v>
      </c>
      <c r="O10" s="76">
        <v>-11419552</v>
      </c>
      <c r="P10" s="76">
        <v>-11419552</v>
      </c>
      <c r="Q10" s="79" t="s">
        <v>327</v>
      </c>
      <c r="R10" s="76">
        <v>-34943.83</v>
      </c>
      <c r="S10" s="76">
        <v>-11384608</v>
      </c>
      <c r="T10" s="56"/>
      <c r="U10" s="82">
        <f t="shared" ref="U10:U39" si="0">+R10/P10</f>
        <v>3.0600000770608167E-3</v>
      </c>
      <c r="V10" s="87">
        <f t="shared" ref="V10:V39" si="1">+U10*P10</f>
        <v>-34943.83</v>
      </c>
      <c r="W10" s="84">
        <f t="shared" ref="W10:W39" si="2">+P10-V10</f>
        <v>-11384608.17</v>
      </c>
      <c r="X10" s="84"/>
      <c r="Y10" s="88">
        <f>+Q10%*(N10/30)*P10</f>
        <v>-34943.829120000002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323</v>
      </c>
      <c r="H11" s="76">
        <v>1230717508</v>
      </c>
      <c r="I11" s="247" t="s">
        <v>68</v>
      </c>
      <c r="J11" s="249"/>
      <c r="K11" s="78" t="s">
        <v>328</v>
      </c>
      <c r="L11" s="248" t="s">
        <v>325</v>
      </c>
      <c r="M11" s="249"/>
      <c r="N11" s="77" t="s">
        <v>326</v>
      </c>
      <c r="O11" s="76">
        <v>-328783</v>
      </c>
      <c r="P11" s="76">
        <v>-328783</v>
      </c>
      <c r="Q11" s="79" t="s">
        <v>327</v>
      </c>
      <c r="R11" s="76">
        <v>-1006.08</v>
      </c>
      <c r="S11" s="76">
        <v>-327777</v>
      </c>
      <c r="T11" s="56"/>
      <c r="U11" s="82">
        <f t="shared" si="0"/>
        <v>3.0600122269095423E-3</v>
      </c>
      <c r="V11" s="87">
        <f t="shared" si="1"/>
        <v>-1006.08</v>
      </c>
      <c r="W11" s="84">
        <f t="shared" si="2"/>
        <v>-327776.92</v>
      </c>
      <c r="X11" s="84"/>
      <c r="Y11" s="88">
        <f t="shared" ref="Y11:Y44" si="3">+Q11%*(N11/30)*P11</f>
        <v>-1006.0759800000001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323</v>
      </c>
      <c r="H12" s="76">
        <v>1230717508</v>
      </c>
      <c r="I12" s="247" t="s">
        <v>68</v>
      </c>
      <c r="J12" s="249"/>
      <c r="K12" s="78" t="s">
        <v>329</v>
      </c>
      <c r="L12" s="248" t="s">
        <v>325</v>
      </c>
      <c r="M12" s="249"/>
      <c r="N12" s="77" t="s">
        <v>326</v>
      </c>
      <c r="O12" s="76">
        <v>-4567821</v>
      </c>
      <c r="P12" s="76">
        <v>-4567821</v>
      </c>
      <c r="Q12" s="79" t="s">
        <v>327</v>
      </c>
      <c r="R12" s="76">
        <v>-13977.53</v>
      </c>
      <c r="S12" s="76">
        <v>-4553843</v>
      </c>
      <c r="T12" s="56"/>
      <c r="U12" s="82">
        <f t="shared" si="0"/>
        <v>3.0599995052345529E-3</v>
      </c>
      <c r="V12" s="87">
        <f t="shared" si="1"/>
        <v>-13977.53</v>
      </c>
      <c r="W12" s="84">
        <f t="shared" si="2"/>
        <v>-4553843.47</v>
      </c>
      <c r="X12" s="83"/>
      <c r="Y12" s="88">
        <f t="shared" si="3"/>
        <v>-13977.532260000002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323</v>
      </c>
      <c r="H13" s="76">
        <v>1230717508</v>
      </c>
      <c r="I13" s="247" t="s">
        <v>68</v>
      </c>
      <c r="J13" s="249"/>
      <c r="K13" s="78" t="s">
        <v>330</v>
      </c>
      <c r="L13" s="248" t="s">
        <v>325</v>
      </c>
      <c r="M13" s="249"/>
      <c r="N13" s="77" t="s">
        <v>326</v>
      </c>
      <c r="O13" s="76">
        <v>-9135641</v>
      </c>
      <c r="P13" s="76">
        <v>-9135641</v>
      </c>
      <c r="Q13" s="79" t="s">
        <v>327</v>
      </c>
      <c r="R13" s="76">
        <v>-27955.06</v>
      </c>
      <c r="S13" s="76">
        <v>-9107686</v>
      </c>
      <c r="T13" s="56"/>
      <c r="U13" s="82">
        <f t="shared" si="0"/>
        <v>3.0599998401863648E-3</v>
      </c>
      <c r="V13" s="87">
        <f t="shared" si="1"/>
        <v>-27955.06</v>
      </c>
      <c r="W13" s="84">
        <f t="shared" si="2"/>
        <v>-9107685.9399999995</v>
      </c>
      <c r="X13" s="83"/>
      <c r="Y13" s="88">
        <f t="shared" si="3"/>
        <v>-27955.061460000001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323</v>
      </c>
      <c r="H14" s="76">
        <v>1230717508</v>
      </c>
      <c r="I14" s="247" t="s">
        <v>68</v>
      </c>
      <c r="J14" s="249"/>
      <c r="K14" s="78" t="s">
        <v>331</v>
      </c>
      <c r="L14" s="248" t="s">
        <v>325</v>
      </c>
      <c r="M14" s="249"/>
      <c r="N14" s="77" t="s">
        <v>326</v>
      </c>
      <c r="O14" s="76">
        <v>-657565</v>
      </c>
      <c r="P14" s="76">
        <v>-657565</v>
      </c>
      <c r="Q14" s="79" t="s">
        <v>327</v>
      </c>
      <c r="R14" s="76">
        <v>-2012.15</v>
      </c>
      <c r="S14" s="76">
        <v>-655553</v>
      </c>
      <c r="T14" s="56"/>
      <c r="U14" s="82">
        <f t="shared" si="0"/>
        <v>3.0600016728384266E-3</v>
      </c>
      <c r="V14" s="87">
        <f t="shared" si="1"/>
        <v>-2012.15</v>
      </c>
      <c r="W14" s="84">
        <f t="shared" si="2"/>
        <v>-655552.85</v>
      </c>
      <c r="X14" s="83"/>
      <c r="Y14" s="88">
        <f t="shared" si="3"/>
        <v>-2012.1489000000001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323</v>
      </c>
      <c r="H15" s="76">
        <v>1230717508</v>
      </c>
      <c r="I15" s="247" t="s">
        <v>68</v>
      </c>
      <c r="J15" s="249"/>
      <c r="K15" s="78" t="s">
        <v>332</v>
      </c>
      <c r="L15" s="248" t="s">
        <v>325</v>
      </c>
      <c r="M15" s="249"/>
      <c r="N15" s="77" t="s">
        <v>326</v>
      </c>
      <c r="O15" s="76">
        <v>-4670789</v>
      </c>
      <c r="P15" s="76">
        <v>-4670789</v>
      </c>
      <c r="Q15" s="79" t="s">
        <v>327</v>
      </c>
      <c r="R15" s="76">
        <v>-14292.61</v>
      </c>
      <c r="S15" s="76">
        <v>-4656496</v>
      </c>
      <c r="T15" s="56"/>
      <c r="U15" s="82">
        <f t="shared" si="0"/>
        <v>3.059999070820797E-3</v>
      </c>
      <c r="V15" s="87">
        <f t="shared" ref="V15:V37" si="4">+U15*P15</f>
        <v>-14292.61</v>
      </c>
      <c r="W15" s="84">
        <f t="shared" ref="W15:W37" si="5">+P15-V15</f>
        <v>-4656496.3899999997</v>
      </c>
      <c r="X15" s="83"/>
      <c r="Y15" s="88">
        <f t="shared" si="3"/>
        <v>-14292.614340000002</v>
      </c>
      <c r="Z15" s="83"/>
      <c r="AA15" s="56"/>
    </row>
    <row r="16" spans="3:27" s="49" customFormat="1" ht="12.75" x14ac:dyDescent="0.2">
      <c r="C16" s="245" t="s">
        <v>66</v>
      </c>
      <c r="D16" s="243"/>
      <c r="E16" s="246" t="s">
        <v>67</v>
      </c>
      <c r="F16" s="243"/>
      <c r="G16" s="75" t="s">
        <v>323</v>
      </c>
      <c r="H16" s="76">
        <v>1230717508</v>
      </c>
      <c r="I16" s="247" t="s">
        <v>68</v>
      </c>
      <c r="J16" s="243"/>
      <c r="K16" s="78" t="s">
        <v>333</v>
      </c>
      <c r="L16" s="248" t="s">
        <v>325</v>
      </c>
      <c r="M16" s="243"/>
      <c r="N16" s="77" t="s">
        <v>326</v>
      </c>
      <c r="O16" s="76">
        <v>-82196</v>
      </c>
      <c r="P16" s="76">
        <v>-82196</v>
      </c>
      <c r="Q16" s="79" t="s">
        <v>327</v>
      </c>
      <c r="R16" s="76">
        <v>-251.52</v>
      </c>
      <c r="S16" s="76">
        <v>-81944</v>
      </c>
      <c r="T16" s="56"/>
      <c r="U16" s="82">
        <f t="shared" si="0"/>
        <v>3.0600029198501145E-3</v>
      </c>
      <c r="V16" s="87">
        <f t="shared" si="4"/>
        <v>-251.52</v>
      </c>
      <c r="W16" s="84">
        <f t="shared" si="5"/>
        <v>-81944.479999999996</v>
      </c>
      <c r="X16" s="83"/>
      <c r="Y16" s="88">
        <f t="shared" si="3"/>
        <v>-251.51976000000002</v>
      </c>
      <c r="Z16" s="83"/>
      <c r="AA16" s="56"/>
    </row>
    <row r="17" spans="3:27" s="49" customFormat="1" x14ac:dyDescent="0.25">
      <c r="C17" s="245" t="s">
        <v>66</v>
      </c>
      <c r="D17" s="249"/>
      <c r="E17" s="246" t="s">
        <v>67</v>
      </c>
      <c r="F17" s="249"/>
      <c r="G17" s="75" t="s">
        <v>323</v>
      </c>
      <c r="H17" s="76">
        <v>1230717508</v>
      </c>
      <c r="I17" s="247" t="s">
        <v>68</v>
      </c>
      <c r="J17" s="249"/>
      <c r="K17" s="78" t="s">
        <v>334</v>
      </c>
      <c r="L17" s="248" t="s">
        <v>325</v>
      </c>
      <c r="M17" s="249"/>
      <c r="N17" s="77" t="s">
        <v>326</v>
      </c>
      <c r="O17" s="76">
        <v>-1868315</v>
      </c>
      <c r="P17" s="76">
        <v>-1868315</v>
      </c>
      <c r="Q17" s="79" t="s">
        <v>327</v>
      </c>
      <c r="R17" s="76">
        <v>-5717.04</v>
      </c>
      <c r="S17" s="76">
        <v>-1862598</v>
      </c>
      <c r="T17" s="56"/>
      <c r="U17" s="82">
        <f t="shared" si="0"/>
        <v>3.0599979125575721E-3</v>
      </c>
      <c r="V17" s="87">
        <f t="shared" si="4"/>
        <v>-5717.04</v>
      </c>
      <c r="W17" s="84">
        <f t="shared" si="5"/>
        <v>-1862597.96</v>
      </c>
      <c r="X17" s="83"/>
      <c r="Y17" s="88">
        <f t="shared" si="3"/>
        <v>-5717.0439000000006</v>
      </c>
      <c r="Z17" s="83"/>
      <c r="AA17" s="56"/>
    </row>
    <row r="18" spans="3:27" s="49" customFormat="1" x14ac:dyDescent="0.25">
      <c r="C18" s="245" t="s">
        <v>66</v>
      </c>
      <c r="D18" s="249"/>
      <c r="E18" s="246" t="s">
        <v>67</v>
      </c>
      <c r="F18" s="249"/>
      <c r="G18" s="75" t="s">
        <v>323</v>
      </c>
      <c r="H18" s="76">
        <v>1230717508</v>
      </c>
      <c r="I18" s="247" t="s">
        <v>68</v>
      </c>
      <c r="J18" s="249"/>
      <c r="K18" s="78" t="s">
        <v>335</v>
      </c>
      <c r="L18" s="248" t="s">
        <v>325</v>
      </c>
      <c r="M18" s="249"/>
      <c r="N18" s="77" t="s">
        <v>326</v>
      </c>
      <c r="O18" s="76">
        <v>-3736631</v>
      </c>
      <c r="P18" s="76">
        <v>-3736631</v>
      </c>
      <c r="Q18" s="79" t="s">
        <v>327</v>
      </c>
      <c r="R18" s="76">
        <v>-11434.09</v>
      </c>
      <c r="S18" s="76">
        <v>-3725197</v>
      </c>
      <c r="T18" s="56"/>
      <c r="U18" s="82">
        <f t="shared" si="0"/>
        <v>3.0599997698461529E-3</v>
      </c>
      <c r="V18" s="87">
        <f t="shared" si="4"/>
        <v>-11434.09</v>
      </c>
      <c r="W18" s="84">
        <f t="shared" si="5"/>
        <v>-3725196.91</v>
      </c>
      <c r="X18" s="83"/>
      <c r="Y18" s="88">
        <f t="shared" si="3"/>
        <v>-11434.09086</v>
      </c>
      <c r="Z18" s="83"/>
      <c r="AA18" s="56"/>
    </row>
    <row r="19" spans="3:27" s="49" customFormat="1" x14ac:dyDescent="0.25">
      <c r="C19" s="245" t="s">
        <v>66</v>
      </c>
      <c r="D19" s="249"/>
      <c r="E19" s="246" t="s">
        <v>67</v>
      </c>
      <c r="F19" s="249"/>
      <c r="G19" s="75" t="s">
        <v>323</v>
      </c>
      <c r="H19" s="76">
        <v>1230717508</v>
      </c>
      <c r="I19" s="247" t="s">
        <v>68</v>
      </c>
      <c r="J19" s="249"/>
      <c r="K19" s="78" t="s">
        <v>336</v>
      </c>
      <c r="L19" s="248" t="s">
        <v>325</v>
      </c>
      <c r="M19" s="249"/>
      <c r="N19" s="77" t="s">
        <v>326</v>
      </c>
      <c r="O19" s="76">
        <v>-164391</v>
      </c>
      <c r="P19" s="76">
        <v>-164391</v>
      </c>
      <c r="Q19" s="79" t="s">
        <v>327</v>
      </c>
      <c r="R19" s="76">
        <v>-503.04</v>
      </c>
      <c r="S19" s="76">
        <v>-163888</v>
      </c>
      <c r="T19" s="56"/>
      <c r="U19" s="82">
        <f t="shared" si="0"/>
        <v>3.0600215340255855E-3</v>
      </c>
      <c r="V19" s="87">
        <f t="shared" si="4"/>
        <v>-503.04</v>
      </c>
      <c r="W19" s="84">
        <f t="shared" si="5"/>
        <v>-163887.96</v>
      </c>
      <c r="X19" s="83"/>
      <c r="Y19" s="88">
        <f t="shared" si="3"/>
        <v>-503.03646000000003</v>
      </c>
      <c r="Z19" s="83"/>
      <c r="AA19" s="56"/>
    </row>
    <row r="20" spans="3:27" s="49" customFormat="1" x14ac:dyDescent="0.25">
      <c r="C20" s="245" t="s">
        <v>66</v>
      </c>
      <c r="D20" s="249"/>
      <c r="E20" s="246" t="s">
        <v>67</v>
      </c>
      <c r="F20" s="249"/>
      <c r="G20" s="75" t="s">
        <v>323</v>
      </c>
      <c r="H20" s="76">
        <v>1230717508</v>
      </c>
      <c r="I20" s="247" t="s">
        <v>68</v>
      </c>
      <c r="J20" s="249"/>
      <c r="K20" s="78" t="s">
        <v>337</v>
      </c>
      <c r="L20" s="248" t="s">
        <v>325</v>
      </c>
      <c r="M20" s="249"/>
      <c r="N20" s="77" t="s">
        <v>326</v>
      </c>
      <c r="O20" s="76">
        <v>-2445595</v>
      </c>
      <c r="P20" s="76">
        <v>-2445595</v>
      </c>
      <c r="Q20" s="79" t="s">
        <v>327</v>
      </c>
      <c r="R20" s="76">
        <v>-7483.52</v>
      </c>
      <c r="S20" s="76">
        <v>-2438111</v>
      </c>
      <c r="T20" s="56"/>
      <c r="U20" s="82">
        <f t="shared" si="0"/>
        <v>3.0599997137710864E-3</v>
      </c>
      <c r="V20" s="87">
        <f t="shared" si="4"/>
        <v>-7483.52</v>
      </c>
      <c r="W20" s="84">
        <f t="shared" si="5"/>
        <v>-2438111.48</v>
      </c>
      <c r="X20" s="83"/>
      <c r="Y20" s="88">
        <f t="shared" si="3"/>
        <v>-7483.5207000000009</v>
      </c>
      <c r="Z20" s="83"/>
      <c r="AA20" s="56"/>
    </row>
    <row r="21" spans="3:27" s="49" customFormat="1" x14ac:dyDescent="0.25">
      <c r="C21" s="245" t="s">
        <v>66</v>
      </c>
      <c r="D21" s="249"/>
      <c r="E21" s="246" t="s">
        <v>67</v>
      </c>
      <c r="F21" s="249"/>
      <c r="G21" s="75" t="s">
        <v>323</v>
      </c>
      <c r="H21" s="76">
        <v>1230717508</v>
      </c>
      <c r="I21" s="247" t="s">
        <v>68</v>
      </c>
      <c r="J21" s="249"/>
      <c r="K21" s="78" t="s">
        <v>338</v>
      </c>
      <c r="L21" s="248" t="s">
        <v>325</v>
      </c>
      <c r="M21" s="249"/>
      <c r="N21" s="77" t="s">
        <v>326</v>
      </c>
      <c r="O21" s="76">
        <v>-978237</v>
      </c>
      <c r="P21" s="76">
        <v>-978237</v>
      </c>
      <c r="Q21" s="79" t="s">
        <v>327</v>
      </c>
      <c r="R21" s="76">
        <v>-2993.41</v>
      </c>
      <c r="S21" s="76">
        <v>-975244</v>
      </c>
      <c r="T21" s="56"/>
      <c r="U21" s="82">
        <f t="shared" si="0"/>
        <v>3.0600048863414489E-3</v>
      </c>
      <c r="V21" s="87">
        <f t="shared" si="4"/>
        <v>-2993.41</v>
      </c>
      <c r="W21" s="84">
        <f t="shared" si="5"/>
        <v>-975243.59</v>
      </c>
      <c r="X21" s="83"/>
      <c r="Y21" s="88">
        <f t="shared" si="3"/>
        <v>-2993.4052200000001</v>
      </c>
      <c r="Z21" s="83"/>
      <c r="AA21" s="56"/>
    </row>
    <row r="22" spans="3:27" s="49" customFormat="1" x14ac:dyDescent="0.25">
      <c r="C22" s="245" t="s">
        <v>66</v>
      </c>
      <c r="D22" s="249"/>
      <c r="E22" s="246" t="s">
        <v>67</v>
      </c>
      <c r="F22" s="249"/>
      <c r="G22" s="75" t="s">
        <v>323</v>
      </c>
      <c r="H22" s="76">
        <v>1230717508</v>
      </c>
      <c r="I22" s="247" t="s">
        <v>68</v>
      </c>
      <c r="J22" s="249"/>
      <c r="K22" s="78" t="s">
        <v>339</v>
      </c>
      <c r="L22" s="248" t="s">
        <v>325</v>
      </c>
      <c r="M22" s="249"/>
      <c r="N22" s="77" t="s">
        <v>326</v>
      </c>
      <c r="O22" s="76">
        <v>-1956477</v>
      </c>
      <c r="P22" s="76">
        <v>-1956477</v>
      </c>
      <c r="Q22" s="79" t="s">
        <v>327</v>
      </c>
      <c r="R22" s="76">
        <v>-5986.82</v>
      </c>
      <c r="S22" s="76">
        <v>-1950490</v>
      </c>
      <c r="T22" s="56"/>
      <c r="U22" s="82">
        <f t="shared" si="0"/>
        <v>3.0600001942266632E-3</v>
      </c>
      <c r="V22" s="87">
        <f t="shared" si="4"/>
        <v>-5986.82</v>
      </c>
      <c r="W22" s="84">
        <f t="shared" si="5"/>
        <v>-1950490.18</v>
      </c>
      <c r="X22" s="83"/>
      <c r="Y22" s="88">
        <f t="shared" si="3"/>
        <v>-5986.8196200000002</v>
      </c>
      <c r="Z22" s="83"/>
      <c r="AA22" s="56"/>
    </row>
    <row r="23" spans="3:27" s="49" customFormat="1" x14ac:dyDescent="0.25">
      <c r="C23" s="245" t="s">
        <v>66</v>
      </c>
      <c r="D23" s="249"/>
      <c r="E23" s="246" t="s">
        <v>67</v>
      </c>
      <c r="F23" s="249"/>
      <c r="G23" s="75" t="s">
        <v>323</v>
      </c>
      <c r="H23" s="76">
        <v>1230717508</v>
      </c>
      <c r="I23" s="247" t="s">
        <v>68</v>
      </c>
      <c r="J23" s="249"/>
      <c r="K23" s="78" t="s">
        <v>340</v>
      </c>
      <c r="L23" s="248" t="s">
        <v>325</v>
      </c>
      <c r="M23" s="249"/>
      <c r="N23" s="77" t="s">
        <v>326</v>
      </c>
      <c r="O23" s="76">
        <v>-318638</v>
      </c>
      <c r="P23" s="76">
        <v>-318638</v>
      </c>
      <c r="Q23" s="79" t="s">
        <v>327</v>
      </c>
      <c r="R23" s="76">
        <v>-975.03</v>
      </c>
      <c r="S23" s="76">
        <v>-317663</v>
      </c>
      <c r="T23" s="56"/>
      <c r="U23" s="82">
        <f t="shared" si="0"/>
        <v>3.0599928445445928E-3</v>
      </c>
      <c r="V23" s="87">
        <f t="shared" si="4"/>
        <v>-975.03</v>
      </c>
      <c r="W23" s="84">
        <f t="shared" si="5"/>
        <v>-317662.96999999997</v>
      </c>
      <c r="X23" s="83"/>
      <c r="Y23" s="88">
        <f t="shared" si="3"/>
        <v>-975.03228000000001</v>
      </c>
      <c r="Z23" s="83"/>
      <c r="AA23" s="56"/>
    </row>
    <row r="24" spans="3:27" s="49" customFormat="1" x14ac:dyDescent="0.25">
      <c r="C24" s="245" t="s">
        <v>66</v>
      </c>
      <c r="D24" s="249"/>
      <c r="E24" s="246" t="s">
        <v>67</v>
      </c>
      <c r="F24" s="249"/>
      <c r="G24" s="75" t="s">
        <v>323</v>
      </c>
      <c r="H24" s="76">
        <v>1230717508</v>
      </c>
      <c r="I24" s="247" t="s">
        <v>68</v>
      </c>
      <c r="J24" s="249"/>
      <c r="K24" s="78" t="s">
        <v>341</v>
      </c>
      <c r="L24" s="248" t="s">
        <v>325</v>
      </c>
      <c r="M24" s="249"/>
      <c r="N24" s="77" t="s">
        <v>326</v>
      </c>
      <c r="O24" s="76">
        <v>-10276</v>
      </c>
      <c r="P24" s="76">
        <v>-10276</v>
      </c>
      <c r="Q24" s="79" t="s">
        <v>327</v>
      </c>
      <c r="R24" s="76">
        <v>-31.44</v>
      </c>
      <c r="S24" s="76">
        <v>-10245</v>
      </c>
      <c r="T24" s="56"/>
      <c r="U24" s="82">
        <f t="shared" si="0"/>
        <v>3.0595562475671471E-3</v>
      </c>
      <c r="V24" s="87">
        <f t="shared" si="4"/>
        <v>-31.440000000000005</v>
      </c>
      <c r="W24" s="84">
        <f t="shared" si="5"/>
        <v>-10244.56</v>
      </c>
      <c r="X24" s="83"/>
      <c r="Y24" s="88">
        <f t="shared" si="3"/>
        <v>-31.444560000000003</v>
      </c>
      <c r="Z24" s="83"/>
      <c r="AA24" s="56"/>
    </row>
    <row r="25" spans="3:27" s="49" customFormat="1" x14ac:dyDescent="0.25">
      <c r="C25" s="245" t="s">
        <v>66</v>
      </c>
      <c r="D25" s="249"/>
      <c r="E25" s="246" t="s">
        <v>67</v>
      </c>
      <c r="F25" s="249"/>
      <c r="G25" s="75" t="s">
        <v>323</v>
      </c>
      <c r="H25" s="76">
        <v>1230717508</v>
      </c>
      <c r="I25" s="247" t="s">
        <v>68</v>
      </c>
      <c r="J25" s="249"/>
      <c r="K25" s="78" t="s">
        <v>342</v>
      </c>
      <c r="L25" s="248" t="s">
        <v>325</v>
      </c>
      <c r="M25" s="249"/>
      <c r="N25" s="77" t="s">
        <v>326</v>
      </c>
      <c r="O25" s="76">
        <v>-2416513</v>
      </c>
      <c r="P25" s="76">
        <v>-2416513</v>
      </c>
      <c r="Q25" s="79" t="s">
        <v>327</v>
      </c>
      <c r="R25" s="76">
        <v>-7394.53</v>
      </c>
      <c r="S25" s="76">
        <v>-2409118</v>
      </c>
      <c r="T25" s="56"/>
      <c r="U25" s="82">
        <f t="shared" si="0"/>
        <v>3.0600000910402715E-3</v>
      </c>
      <c r="V25" s="87">
        <f t="shared" si="4"/>
        <v>-7394.53</v>
      </c>
      <c r="W25" s="84">
        <f t="shared" si="5"/>
        <v>-2409118.4700000002</v>
      </c>
      <c r="X25" s="83"/>
      <c r="Y25" s="88">
        <f t="shared" si="3"/>
        <v>-7394.5297800000008</v>
      </c>
      <c r="Z25" s="83"/>
      <c r="AA25" s="56"/>
    </row>
    <row r="26" spans="3:27" s="49" customFormat="1" x14ac:dyDescent="0.25">
      <c r="C26" s="245" t="s">
        <v>66</v>
      </c>
      <c r="D26" s="249"/>
      <c r="E26" s="246" t="s">
        <v>67</v>
      </c>
      <c r="F26" s="249"/>
      <c r="G26" s="75" t="s">
        <v>323</v>
      </c>
      <c r="H26" s="76">
        <v>1230717508</v>
      </c>
      <c r="I26" s="247" t="s">
        <v>68</v>
      </c>
      <c r="J26" s="249"/>
      <c r="K26" s="78" t="s">
        <v>343</v>
      </c>
      <c r="L26" s="248" t="s">
        <v>325</v>
      </c>
      <c r="M26" s="249"/>
      <c r="N26" s="77" t="s">
        <v>326</v>
      </c>
      <c r="O26" s="76">
        <v>-966605</v>
      </c>
      <c r="P26" s="76">
        <v>-966605</v>
      </c>
      <c r="Q26" s="79" t="s">
        <v>327</v>
      </c>
      <c r="R26" s="76">
        <v>-2957.81</v>
      </c>
      <c r="S26" s="76">
        <v>-963647</v>
      </c>
      <c r="T26" s="56"/>
      <c r="U26" s="82">
        <f t="shared" si="0"/>
        <v>3.0599986550866177E-3</v>
      </c>
      <c r="V26" s="87">
        <f t="shared" si="4"/>
        <v>-2957.81</v>
      </c>
      <c r="W26" s="84">
        <f t="shared" si="5"/>
        <v>-963647.19</v>
      </c>
      <c r="X26" s="83"/>
      <c r="Y26" s="88">
        <f t="shared" si="3"/>
        <v>-2957.8113000000003</v>
      </c>
      <c r="Z26" s="83"/>
      <c r="AA26" s="56"/>
    </row>
    <row r="27" spans="3:27" s="49" customFormat="1" x14ac:dyDescent="0.25">
      <c r="C27" s="245" t="s">
        <v>66</v>
      </c>
      <c r="D27" s="249"/>
      <c r="E27" s="246" t="s">
        <v>67</v>
      </c>
      <c r="F27" s="249"/>
      <c r="G27" s="75" t="s">
        <v>323</v>
      </c>
      <c r="H27" s="76">
        <v>1230717508</v>
      </c>
      <c r="I27" s="247" t="s">
        <v>68</v>
      </c>
      <c r="J27" s="249"/>
      <c r="K27" s="78" t="s">
        <v>344</v>
      </c>
      <c r="L27" s="248" t="s">
        <v>325</v>
      </c>
      <c r="M27" s="249"/>
      <c r="N27" s="77" t="s">
        <v>326</v>
      </c>
      <c r="O27" s="76">
        <v>-1933210</v>
      </c>
      <c r="P27" s="76">
        <v>-1933210</v>
      </c>
      <c r="Q27" s="79" t="s">
        <v>327</v>
      </c>
      <c r="R27" s="76">
        <v>-5915.62</v>
      </c>
      <c r="S27" s="76">
        <v>-1927294</v>
      </c>
      <c r="T27" s="56"/>
      <c r="U27" s="82">
        <f t="shared" si="0"/>
        <v>3.0599986550866177E-3</v>
      </c>
      <c r="V27" s="87">
        <f t="shared" si="4"/>
        <v>-5915.62</v>
      </c>
      <c r="W27" s="84">
        <f t="shared" si="5"/>
        <v>-1927294.38</v>
      </c>
      <c r="X27" s="83"/>
      <c r="Y27" s="88">
        <f t="shared" si="3"/>
        <v>-5915.6226000000006</v>
      </c>
      <c r="Z27" s="83"/>
      <c r="AA27" s="56"/>
    </row>
    <row r="28" spans="3:27" s="49" customFormat="1" x14ac:dyDescent="0.25">
      <c r="C28" s="245" t="s">
        <v>66</v>
      </c>
      <c r="D28" s="249"/>
      <c r="E28" s="246" t="s">
        <v>67</v>
      </c>
      <c r="F28" s="249"/>
      <c r="G28" s="75" t="s">
        <v>323</v>
      </c>
      <c r="H28" s="76">
        <v>1230717508</v>
      </c>
      <c r="I28" s="247" t="s">
        <v>68</v>
      </c>
      <c r="J28" s="249"/>
      <c r="K28" s="78" t="s">
        <v>345</v>
      </c>
      <c r="L28" s="248" t="s">
        <v>325</v>
      </c>
      <c r="M28" s="249"/>
      <c r="N28" s="77" t="s">
        <v>326</v>
      </c>
      <c r="O28" s="76">
        <v>-6087209</v>
      </c>
      <c r="P28" s="76">
        <v>-6087209</v>
      </c>
      <c r="Q28" s="79" t="s">
        <v>327</v>
      </c>
      <c r="R28" s="76">
        <v>-18626.86</v>
      </c>
      <c r="S28" s="76">
        <v>-6068582</v>
      </c>
      <c r="T28" s="56"/>
      <c r="U28" s="82">
        <f t="shared" si="0"/>
        <v>3.060000075568294E-3</v>
      </c>
      <c r="V28" s="87">
        <f t="shared" si="4"/>
        <v>-18626.86</v>
      </c>
      <c r="W28" s="84">
        <f t="shared" si="5"/>
        <v>-6068582.1399999997</v>
      </c>
      <c r="X28" s="83"/>
      <c r="Y28" s="88">
        <f t="shared" si="3"/>
        <v>-18626.859540000001</v>
      </c>
      <c r="Z28" s="83"/>
      <c r="AA28" s="56"/>
    </row>
    <row r="29" spans="3:27" s="49" customFormat="1" x14ac:dyDescent="0.25">
      <c r="C29" s="245" t="s">
        <v>66</v>
      </c>
      <c r="D29" s="249"/>
      <c r="E29" s="246" t="s">
        <v>67</v>
      </c>
      <c r="F29" s="249"/>
      <c r="G29" s="75" t="s">
        <v>323</v>
      </c>
      <c r="H29" s="76">
        <v>1230717508</v>
      </c>
      <c r="I29" s="247" t="s">
        <v>68</v>
      </c>
      <c r="J29" s="249"/>
      <c r="K29" s="78" t="s">
        <v>346</v>
      </c>
      <c r="L29" s="248" t="s">
        <v>325</v>
      </c>
      <c r="M29" s="249"/>
      <c r="N29" s="77" t="s">
        <v>326</v>
      </c>
      <c r="O29" s="76">
        <v>-2434884</v>
      </c>
      <c r="P29" s="76">
        <v>-2434884</v>
      </c>
      <c r="Q29" s="79" t="s">
        <v>327</v>
      </c>
      <c r="R29" s="76">
        <v>-7450.75</v>
      </c>
      <c r="S29" s="76">
        <v>-2427433</v>
      </c>
      <c r="T29" s="56"/>
      <c r="U29" s="82">
        <f t="shared" si="0"/>
        <v>3.0600020370580281E-3</v>
      </c>
      <c r="V29" s="87">
        <f t="shared" si="4"/>
        <v>-7450.75</v>
      </c>
      <c r="W29" s="84">
        <f t="shared" si="5"/>
        <v>-2427433.25</v>
      </c>
      <c r="X29" s="83"/>
      <c r="Y29" s="88">
        <f t="shared" si="3"/>
        <v>-7450.7450400000007</v>
      </c>
      <c r="Z29" s="83"/>
      <c r="AA29" s="56"/>
    </row>
    <row r="30" spans="3:27" s="49" customFormat="1" x14ac:dyDescent="0.25">
      <c r="C30" s="245" t="s">
        <v>66</v>
      </c>
      <c r="D30" s="249"/>
      <c r="E30" s="246" t="s">
        <v>67</v>
      </c>
      <c r="F30" s="249"/>
      <c r="G30" s="75" t="s">
        <v>323</v>
      </c>
      <c r="H30" s="76">
        <v>1230717508</v>
      </c>
      <c r="I30" s="247" t="s">
        <v>68</v>
      </c>
      <c r="J30" s="249"/>
      <c r="K30" s="78" t="s">
        <v>347</v>
      </c>
      <c r="L30" s="248" t="s">
        <v>325</v>
      </c>
      <c r="M30" s="249"/>
      <c r="N30" s="77" t="s">
        <v>326</v>
      </c>
      <c r="O30" s="76">
        <v>-4869768</v>
      </c>
      <c r="P30" s="76">
        <v>-4869768</v>
      </c>
      <c r="Q30" s="79" t="s">
        <v>327</v>
      </c>
      <c r="R30" s="76">
        <v>-14901.49</v>
      </c>
      <c r="S30" s="76">
        <v>-4854867</v>
      </c>
      <c r="T30" s="56"/>
      <c r="U30" s="82">
        <f t="shared" si="0"/>
        <v>3.0599999835721125E-3</v>
      </c>
      <c r="V30" s="87">
        <f t="shared" si="4"/>
        <v>-14901.49</v>
      </c>
      <c r="W30" s="84">
        <f t="shared" si="5"/>
        <v>-4854866.51</v>
      </c>
      <c r="X30" s="83"/>
      <c r="Y30" s="88">
        <f t="shared" si="3"/>
        <v>-14901.490080000001</v>
      </c>
      <c r="Z30" s="83"/>
      <c r="AA30" s="56"/>
    </row>
    <row r="31" spans="3:27" s="49" customFormat="1" x14ac:dyDescent="0.25">
      <c r="C31" s="245" t="s">
        <v>66</v>
      </c>
      <c r="D31" s="249"/>
      <c r="E31" s="246" t="s">
        <v>67</v>
      </c>
      <c r="F31" s="249"/>
      <c r="G31" s="75" t="s">
        <v>323</v>
      </c>
      <c r="H31" s="76">
        <v>1230717508</v>
      </c>
      <c r="I31" s="247" t="s">
        <v>69</v>
      </c>
      <c r="J31" s="249"/>
      <c r="K31" s="78" t="s">
        <v>348</v>
      </c>
      <c r="L31" s="248" t="s">
        <v>325</v>
      </c>
      <c r="M31" s="249"/>
      <c r="N31" s="77" t="s">
        <v>326</v>
      </c>
      <c r="O31" s="76">
        <v>24455952</v>
      </c>
      <c r="P31" s="76">
        <v>24455952</v>
      </c>
      <c r="Q31" s="79" t="s">
        <v>327</v>
      </c>
      <c r="R31" s="76">
        <v>74835.210000000006</v>
      </c>
      <c r="S31" s="76">
        <v>24381117</v>
      </c>
      <c r="T31" s="56"/>
      <c r="U31" s="82">
        <f t="shared" si="0"/>
        <v>3.0599998724236948E-3</v>
      </c>
      <c r="V31" s="87">
        <f t="shared" si="4"/>
        <v>74835.210000000006</v>
      </c>
      <c r="W31" s="84">
        <f t="shared" si="5"/>
        <v>24381116.789999999</v>
      </c>
      <c r="X31" s="83"/>
      <c r="Y31" s="88">
        <f t="shared" si="3"/>
        <v>74835.21312</v>
      </c>
      <c r="Z31" s="83"/>
      <c r="AA31" s="56"/>
    </row>
    <row r="32" spans="3:27" s="49" customFormat="1" ht="12.75" x14ac:dyDescent="0.2">
      <c r="C32" s="245" t="s">
        <v>66</v>
      </c>
      <c r="D32" s="243"/>
      <c r="E32" s="246" t="s">
        <v>67</v>
      </c>
      <c r="F32" s="243"/>
      <c r="G32" s="75" t="s">
        <v>323</v>
      </c>
      <c r="H32" s="76">
        <v>1230717508</v>
      </c>
      <c r="I32" s="247" t="s">
        <v>69</v>
      </c>
      <c r="J32" s="243"/>
      <c r="K32" s="78" t="s">
        <v>349</v>
      </c>
      <c r="L32" s="248" t="s">
        <v>325</v>
      </c>
      <c r="M32" s="243"/>
      <c r="N32" s="77" t="s">
        <v>326</v>
      </c>
      <c r="O32" s="76">
        <v>24165125</v>
      </c>
      <c r="P32" s="76">
        <v>24165125</v>
      </c>
      <c r="Q32" s="79" t="s">
        <v>327</v>
      </c>
      <c r="R32" s="76">
        <v>73945.279999999999</v>
      </c>
      <c r="S32" s="76">
        <v>24091180</v>
      </c>
      <c r="T32" s="56"/>
      <c r="U32" s="82">
        <f t="shared" si="0"/>
        <v>3.0599998965451245E-3</v>
      </c>
      <c r="V32" s="87">
        <f t="shared" si="4"/>
        <v>73945.279999999999</v>
      </c>
      <c r="W32" s="84">
        <f t="shared" si="5"/>
        <v>24091179.719999999</v>
      </c>
      <c r="X32" s="83"/>
      <c r="Y32" s="88">
        <f t="shared" si="3"/>
        <v>73945.282500000001</v>
      </c>
      <c r="Z32" s="83"/>
      <c r="AA32" s="56"/>
    </row>
    <row r="33" spans="3:30" s="49" customFormat="1" x14ac:dyDescent="0.25">
      <c r="C33" s="245" t="s">
        <v>66</v>
      </c>
      <c r="D33" s="249"/>
      <c r="E33" s="246" t="s">
        <v>67</v>
      </c>
      <c r="F33" s="249"/>
      <c r="G33" s="75" t="s">
        <v>323</v>
      </c>
      <c r="H33" s="76">
        <v>1230717510</v>
      </c>
      <c r="I33" s="247" t="s">
        <v>69</v>
      </c>
      <c r="J33" s="249"/>
      <c r="K33" s="78" t="s">
        <v>350</v>
      </c>
      <c r="L33" s="248" t="s">
        <v>351</v>
      </c>
      <c r="M33" s="249"/>
      <c r="N33" s="77" t="s">
        <v>212</v>
      </c>
      <c r="O33" s="76">
        <v>24342150</v>
      </c>
      <c r="P33" s="76">
        <v>24342150</v>
      </c>
      <c r="Q33" s="79" t="s">
        <v>327</v>
      </c>
      <c r="R33" s="76">
        <v>132421.29999999999</v>
      </c>
      <c r="S33" s="76">
        <v>24209729</v>
      </c>
      <c r="T33" s="56"/>
      <c r="U33" s="82">
        <f t="shared" si="0"/>
        <v>5.4400001643240218E-3</v>
      </c>
      <c r="V33" s="87">
        <f t="shared" si="4"/>
        <v>132421.29999999999</v>
      </c>
      <c r="W33" s="84">
        <f t="shared" si="5"/>
        <v>24209728.699999999</v>
      </c>
      <c r="X33" s="83"/>
      <c r="Y33" s="88">
        <f t="shared" si="3"/>
        <v>132421.296</v>
      </c>
      <c r="Z33" s="83"/>
      <c r="AA33" s="56"/>
    </row>
    <row r="34" spans="3:30" s="49" customFormat="1" x14ac:dyDescent="0.25">
      <c r="C34" s="245" t="s">
        <v>66</v>
      </c>
      <c r="D34" s="249"/>
      <c r="E34" s="246" t="s">
        <v>67</v>
      </c>
      <c r="F34" s="249"/>
      <c r="G34" s="75" t="s">
        <v>323</v>
      </c>
      <c r="H34" s="76">
        <v>1230717510</v>
      </c>
      <c r="I34" s="247" t="s">
        <v>69</v>
      </c>
      <c r="J34" s="249"/>
      <c r="K34" s="78" t="s">
        <v>352</v>
      </c>
      <c r="L34" s="248" t="s">
        <v>351</v>
      </c>
      <c r="M34" s="249"/>
      <c r="N34" s="77" t="s">
        <v>212</v>
      </c>
      <c r="O34" s="76">
        <v>24019712</v>
      </c>
      <c r="P34" s="76">
        <v>24019712</v>
      </c>
      <c r="Q34" s="79" t="s">
        <v>327</v>
      </c>
      <c r="R34" s="76">
        <v>130667.23</v>
      </c>
      <c r="S34" s="76">
        <v>23889045</v>
      </c>
      <c r="T34" s="56"/>
      <c r="U34" s="82">
        <f t="shared" si="0"/>
        <v>5.4399998634454896E-3</v>
      </c>
      <c r="V34" s="87">
        <f t="shared" si="4"/>
        <v>130667.23</v>
      </c>
      <c r="W34" s="84">
        <f t="shared" si="5"/>
        <v>23889044.77</v>
      </c>
      <c r="X34" s="83"/>
      <c r="Y34" s="88">
        <f t="shared" si="3"/>
        <v>130667.23328000001</v>
      </c>
      <c r="Z34" s="83"/>
      <c r="AA34" s="56"/>
    </row>
    <row r="35" spans="3:30" s="49" customFormat="1" x14ac:dyDescent="0.25">
      <c r="C35" s="245" t="s">
        <v>66</v>
      </c>
      <c r="D35" s="249"/>
      <c r="E35" s="246" t="s">
        <v>67</v>
      </c>
      <c r="F35" s="249"/>
      <c r="G35" s="75" t="s">
        <v>323</v>
      </c>
      <c r="H35" s="76">
        <v>1230717510</v>
      </c>
      <c r="I35" s="247" t="s">
        <v>69</v>
      </c>
      <c r="J35" s="249"/>
      <c r="K35" s="78" t="s">
        <v>353</v>
      </c>
      <c r="L35" s="248" t="s">
        <v>351</v>
      </c>
      <c r="M35" s="249"/>
      <c r="N35" s="77" t="s">
        <v>212</v>
      </c>
      <c r="O35" s="76">
        <v>12510232</v>
      </c>
      <c r="P35" s="76">
        <v>12510232</v>
      </c>
      <c r="Q35" s="79" t="s">
        <v>327</v>
      </c>
      <c r="R35" s="76">
        <v>68055.66</v>
      </c>
      <c r="S35" s="76">
        <v>12442176</v>
      </c>
      <c r="T35" s="56"/>
      <c r="U35" s="82">
        <f t="shared" si="0"/>
        <v>5.4399998337360976E-3</v>
      </c>
      <c r="V35" s="87">
        <f t="shared" si="4"/>
        <v>68055.66</v>
      </c>
      <c r="W35" s="84">
        <f t="shared" si="5"/>
        <v>12442176.34</v>
      </c>
      <c r="X35" s="83"/>
      <c r="Y35" s="88">
        <f t="shared" si="3"/>
        <v>68055.662080000009</v>
      </c>
      <c r="Z35" s="83"/>
      <c r="AA35" s="56"/>
    </row>
    <row r="36" spans="3:30" s="49" customFormat="1" x14ac:dyDescent="0.25">
      <c r="C36" s="245" t="s">
        <v>66</v>
      </c>
      <c r="D36" s="249"/>
      <c r="E36" s="246" t="s">
        <v>67</v>
      </c>
      <c r="F36" s="249"/>
      <c r="G36" s="75" t="s">
        <v>323</v>
      </c>
      <c r="H36" s="76">
        <v>1230717512</v>
      </c>
      <c r="I36" s="247" t="s">
        <v>68</v>
      </c>
      <c r="J36" s="249"/>
      <c r="K36" s="78" t="s">
        <v>354</v>
      </c>
      <c r="L36" s="248" t="s">
        <v>355</v>
      </c>
      <c r="M36" s="249"/>
      <c r="N36" s="77" t="s">
        <v>356</v>
      </c>
      <c r="O36" s="76">
        <v>-9014609</v>
      </c>
      <c r="P36" s="76">
        <v>-9014609</v>
      </c>
      <c r="Q36" s="79" t="s">
        <v>327</v>
      </c>
      <c r="R36" s="76">
        <v>-79689.14</v>
      </c>
      <c r="S36" s="76">
        <v>-8934920</v>
      </c>
      <c r="T36" s="56"/>
      <c r="U36" s="82">
        <f t="shared" si="0"/>
        <v>8.8399996050854777E-3</v>
      </c>
      <c r="V36" s="87">
        <f t="shared" si="4"/>
        <v>-79689.14</v>
      </c>
      <c r="W36" s="84">
        <f t="shared" si="5"/>
        <v>-8934919.8599999994</v>
      </c>
      <c r="X36" s="83"/>
      <c r="Y36" s="88">
        <f t="shared" si="3"/>
        <v>-79689.143560000011</v>
      </c>
      <c r="Z36" s="83"/>
      <c r="AA36" s="56"/>
    </row>
    <row r="37" spans="3:30" s="49" customFormat="1" x14ac:dyDescent="0.25">
      <c r="C37" s="245" t="s">
        <v>66</v>
      </c>
      <c r="D37" s="249"/>
      <c r="E37" s="246" t="s">
        <v>67</v>
      </c>
      <c r="F37" s="249"/>
      <c r="G37" s="75" t="s">
        <v>323</v>
      </c>
      <c r="H37" s="76">
        <v>1230717512</v>
      </c>
      <c r="I37" s="247" t="s">
        <v>68</v>
      </c>
      <c r="J37" s="249"/>
      <c r="K37" s="78" t="s">
        <v>357</v>
      </c>
      <c r="L37" s="248" t="s">
        <v>355</v>
      </c>
      <c r="M37" s="249"/>
      <c r="N37" s="77" t="s">
        <v>356</v>
      </c>
      <c r="O37" s="76">
        <v>-145413</v>
      </c>
      <c r="P37" s="76">
        <v>-145413</v>
      </c>
      <c r="Q37" s="79" t="s">
        <v>327</v>
      </c>
      <c r="R37" s="76">
        <v>-1285.45</v>
      </c>
      <c r="S37" s="76">
        <v>-144128</v>
      </c>
      <c r="T37" s="56"/>
      <c r="U37" s="82">
        <f t="shared" si="0"/>
        <v>8.8399936731929068E-3</v>
      </c>
      <c r="V37" s="87">
        <f t="shared" si="4"/>
        <v>-1285.45</v>
      </c>
      <c r="W37" s="84">
        <f t="shared" si="5"/>
        <v>-144127.54999999999</v>
      </c>
      <c r="X37" s="83"/>
      <c r="Y37" s="88">
        <f t="shared" si="3"/>
        <v>-1285.45092</v>
      </c>
      <c r="Z37" s="83"/>
      <c r="AA37" s="56"/>
    </row>
    <row r="38" spans="3:30" s="49" customFormat="1" x14ac:dyDescent="0.25">
      <c r="C38" s="245" t="s">
        <v>66</v>
      </c>
      <c r="D38" s="249"/>
      <c r="E38" s="246" t="s">
        <v>67</v>
      </c>
      <c r="F38" s="249"/>
      <c r="G38" s="75" t="s">
        <v>323</v>
      </c>
      <c r="H38" s="76">
        <v>1230717512</v>
      </c>
      <c r="I38" s="247" t="s">
        <v>69</v>
      </c>
      <c r="J38" s="249"/>
      <c r="K38" s="78" t="s">
        <v>354</v>
      </c>
      <c r="L38" s="248" t="s">
        <v>355</v>
      </c>
      <c r="M38" s="249"/>
      <c r="N38" s="77" t="s">
        <v>356</v>
      </c>
      <c r="O38" s="76">
        <v>48234308</v>
      </c>
      <c r="P38" s="76">
        <v>48234308</v>
      </c>
      <c r="Q38" s="79" t="s">
        <v>327</v>
      </c>
      <c r="R38" s="76">
        <v>426391.28</v>
      </c>
      <c r="S38" s="76">
        <v>47807917</v>
      </c>
      <c r="T38" s="56"/>
      <c r="U38" s="82">
        <f t="shared" si="0"/>
        <v>8.8399999436086039E-3</v>
      </c>
      <c r="V38" s="87">
        <f t="shared" si="1"/>
        <v>426391.28</v>
      </c>
      <c r="W38" s="84">
        <f t="shared" si="2"/>
        <v>47807916.719999999</v>
      </c>
      <c r="X38" s="83"/>
      <c r="Y38" s="88">
        <f t="shared" si="3"/>
        <v>426391.28272000002</v>
      </c>
      <c r="Z38" s="83"/>
      <c r="AA38" s="56"/>
    </row>
    <row r="39" spans="3:30" s="49" customFormat="1" x14ac:dyDescent="0.25">
      <c r="C39" s="245" t="s">
        <v>66</v>
      </c>
      <c r="D39" s="249"/>
      <c r="E39" s="246" t="s">
        <v>67</v>
      </c>
      <c r="F39" s="249"/>
      <c r="G39" s="75" t="s">
        <v>323</v>
      </c>
      <c r="H39" s="76">
        <v>1230717512</v>
      </c>
      <c r="I39" s="247" t="s">
        <v>69</v>
      </c>
      <c r="J39" s="249"/>
      <c r="K39" s="78" t="s">
        <v>357</v>
      </c>
      <c r="L39" s="248" t="s">
        <v>355</v>
      </c>
      <c r="M39" s="249"/>
      <c r="N39" s="77" t="s">
        <v>356</v>
      </c>
      <c r="O39" s="76">
        <v>748143</v>
      </c>
      <c r="P39" s="76">
        <v>748143</v>
      </c>
      <c r="Q39" s="79" t="s">
        <v>327</v>
      </c>
      <c r="R39" s="76">
        <v>6613.58</v>
      </c>
      <c r="S39" s="76">
        <v>741529</v>
      </c>
      <c r="T39" s="56"/>
      <c r="U39" s="82">
        <f t="shared" si="0"/>
        <v>8.8399944930314129E-3</v>
      </c>
      <c r="V39" s="87">
        <f t="shared" si="1"/>
        <v>6613.58</v>
      </c>
      <c r="W39" s="84">
        <f t="shared" si="2"/>
        <v>741529.42</v>
      </c>
      <c r="X39" s="83"/>
      <c r="Y39" s="88">
        <f t="shared" si="3"/>
        <v>6613.5841200000004</v>
      </c>
      <c r="Z39" s="83"/>
      <c r="AA39" s="56"/>
    </row>
    <row r="40" spans="3:30" s="49" customFormat="1" x14ac:dyDescent="0.25">
      <c r="C40" s="257"/>
      <c r="D40" s="258"/>
      <c r="E40" s="259"/>
      <c r="F40" s="258"/>
      <c r="G40" s="51"/>
      <c r="H40" s="52"/>
      <c r="I40" s="260"/>
      <c r="J40" s="258"/>
      <c r="K40" s="54"/>
      <c r="L40" s="261"/>
      <c r="M40" s="258"/>
      <c r="N40" s="53"/>
      <c r="O40" s="52"/>
      <c r="P40" s="52"/>
      <c r="Q40" s="55"/>
      <c r="R40" s="172"/>
      <c r="S40" s="172"/>
      <c r="T40" s="56"/>
      <c r="U40" s="82"/>
      <c r="V40" s="87"/>
      <c r="W40" s="84"/>
      <c r="X40" s="83"/>
      <c r="Y40" s="88">
        <f t="shared" si="3"/>
        <v>0</v>
      </c>
      <c r="Z40" s="83"/>
      <c r="AA40" s="56"/>
    </row>
    <row r="41" spans="3:30" s="49" customFormat="1" ht="12.75" x14ac:dyDescent="0.2"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170"/>
      <c r="S41" s="170"/>
      <c r="T41" s="56"/>
      <c r="U41" s="82"/>
      <c r="V41" s="83"/>
      <c r="W41" s="84"/>
      <c r="X41" s="83"/>
      <c r="Y41" s="88">
        <f t="shared" si="3"/>
        <v>0</v>
      </c>
      <c r="Z41" s="83"/>
      <c r="AA41" s="56"/>
    </row>
    <row r="42" spans="3:30" s="49" customFormat="1" ht="12.75" x14ac:dyDescent="0.2"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170"/>
      <c r="S42" s="170"/>
      <c r="T42" s="56"/>
      <c r="U42" s="82"/>
      <c r="V42" s="83"/>
      <c r="W42" s="84"/>
      <c r="X42" s="83"/>
      <c r="Y42" s="88">
        <f t="shared" si="3"/>
        <v>0</v>
      </c>
      <c r="Z42" s="83"/>
      <c r="AA42" s="56"/>
      <c r="AB42" s="56"/>
    </row>
    <row r="43" spans="3:30" s="49" customFormat="1" ht="12.75" x14ac:dyDescent="0.2">
      <c r="C43" s="243" t="s">
        <v>70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76">
        <v>88266504</v>
      </c>
      <c r="P43" s="76">
        <v>88266504</v>
      </c>
      <c r="Q43" s="80"/>
      <c r="R43" s="76">
        <v>645145</v>
      </c>
      <c r="S43" s="76">
        <v>87621359</v>
      </c>
      <c r="T43" s="56"/>
      <c r="U43" s="82"/>
      <c r="V43" s="83"/>
      <c r="W43" s="84"/>
      <c r="X43" s="83"/>
      <c r="Y43" s="88">
        <f t="shared" si="3"/>
        <v>0</v>
      </c>
      <c r="Z43" s="83"/>
      <c r="AA43" s="56"/>
      <c r="AB43" s="56"/>
    </row>
    <row r="44" spans="3:30" s="49" customFormat="1" ht="12.75" x14ac:dyDescent="0.2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170"/>
      <c r="S44" s="170"/>
      <c r="T44" s="56"/>
      <c r="U44" s="82"/>
      <c r="V44" s="83"/>
      <c r="W44" s="84"/>
      <c r="X44" s="83"/>
      <c r="Y44" s="88">
        <f t="shared" si="3"/>
        <v>0</v>
      </c>
      <c r="Z44" s="83"/>
      <c r="AA44" s="56"/>
      <c r="AB44" s="56"/>
    </row>
    <row r="45" spans="3:30" s="49" customFormat="1" ht="12.75" x14ac:dyDescent="0.2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170"/>
      <c r="S45" s="170"/>
      <c r="T45" s="56"/>
      <c r="U45" s="82"/>
      <c r="V45" s="83"/>
      <c r="W45" s="84"/>
      <c r="X45" s="56"/>
      <c r="Y45" s="88"/>
      <c r="Z45" s="56"/>
      <c r="AA45" s="56"/>
      <c r="AB45" s="56"/>
    </row>
    <row r="46" spans="3:30" s="49" customFormat="1" ht="12.75" x14ac:dyDescent="0.2">
      <c r="C46" s="244" t="s">
        <v>70</v>
      </c>
      <c r="D46" s="244"/>
      <c r="E46" s="244"/>
      <c r="F46" s="244"/>
      <c r="G46" s="244"/>
      <c r="H46" s="244"/>
      <c r="I46" s="244"/>
      <c r="J46" s="244"/>
      <c r="K46" s="244"/>
      <c r="L46" s="244"/>
      <c r="M46" s="244"/>
      <c r="N46" s="244"/>
      <c r="O46" s="76">
        <f>+SUM(O10:O40)</f>
        <v>88266504</v>
      </c>
      <c r="P46" s="76">
        <f>+SUM(P10:P40)</f>
        <v>88266504</v>
      </c>
      <c r="Q46" s="80"/>
      <c r="R46" s="76">
        <f>+SUM(R10:R40)</f>
        <v>645144.72</v>
      </c>
      <c r="S46" s="76">
        <f>+SUM(S10:S40)</f>
        <v>87621361</v>
      </c>
      <c r="U46" s="82"/>
      <c r="V46" s="91">
        <f>SUM(V10:V41)</f>
        <v>645144.72</v>
      </c>
      <c r="W46" s="91">
        <f>SUM(W10:W42)</f>
        <v>87621359.280000001</v>
      </c>
      <c r="X46" s="56"/>
      <c r="Y46" s="91">
        <f>SUM(Y10:Y41)</f>
        <v>645144.72558000009</v>
      </c>
      <c r="Z46" s="91">
        <f>$AA$7*$AA$8*1.19</f>
        <v>69478.78783999999</v>
      </c>
      <c r="AA46" s="91">
        <f>+Y46+Z46</f>
        <v>714623.51342000009</v>
      </c>
      <c r="AB46" s="92">
        <f>+W46-Z46</f>
        <v>87551880.492160007</v>
      </c>
      <c r="AD46" s="56" t="s">
        <v>321</v>
      </c>
    </row>
    <row r="49" spans="3:3" s="49" customFormat="1" ht="11.25" x14ac:dyDescent="0.15">
      <c r="C49" s="81" t="s">
        <v>71</v>
      </c>
    </row>
    <row r="53" spans="3:3" x14ac:dyDescent="0.25">
      <c r="C53" s="2" t="s">
        <v>322</v>
      </c>
    </row>
  </sheetData>
  <mergeCells count="131">
    <mergeCell ref="C43:N43"/>
    <mergeCell ref="C46:N46"/>
    <mergeCell ref="C39:D39"/>
    <mergeCell ref="E39:F39"/>
    <mergeCell ref="I39:J39"/>
    <mergeCell ref="L39:M39"/>
    <mergeCell ref="C40:D40"/>
    <mergeCell ref="E40:F40"/>
    <mergeCell ref="I40:J40"/>
    <mergeCell ref="L40:M40"/>
    <mergeCell ref="C38:D38"/>
    <mergeCell ref="E38:F38"/>
    <mergeCell ref="I38:J38"/>
    <mergeCell ref="L38:M38"/>
    <mergeCell ref="C17:D17"/>
    <mergeCell ref="E17:F17"/>
    <mergeCell ref="I17:J17"/>
    <mergeCell ref="L17:M17"/>
    <mergeCell ref="C18:D18"/>
    <mergeCell ref="E18:F18"/>
    <mergeCell ref="I18:J18"/>
    <mergeCell ref="L18:M18"/>
    <mergeCell ref="C21:D21"/>
    <mergeCell ref="E21:F21"/>
    <mergeCell ref="I21:J21"/>
    <mergeCell ref="L21:M21"/>
    <mergeCell ref="C22:D22"/>
    <mergeCell ref="E22:F22"/>
    <mergeCell ref="I22:J22"/>
    <mergeCell ref="L22:M22"/>
    <mergeCell ref="C19:D19"/>
    <mergeCell ref="E19:F19"/>
    <mergeCell ref="I19:J19"/>
    <mergeCell ref="L19:M19"/>
    <mergeCell ref="L13:M13"/>
    <mergeCell ref="C14:D14"/>
    <mergeCell ref="E14:F14"/>
    <mergeCell ref="I14:J14"/>
    <mergeCell ref="L14:M14"/>
    <mergeCell ref="C15:D15"/>
    <mergeCell ref="E15:F15"/>
    <mergeCell ref="I15:J15"/>
    <mergeCell ref="L15:M15"/>
    <mergeCell ref="C10:D10"/>
    <mergeCell ref="E10:F10"/>
    <mergeCell ref="I10:J10"/>
    <mergeCell ref="L10:M10"/>
    <mergeCell ref="C16:D16"/>
    <mergeCell ref="E16:F16"/>
    <mergeCell ref="I16:J16"/>
    <mergeCell ref="L16:M16"/>
    <mergeCell ref="F2:M2"/>
    <mergeCell ref="C9:D9"/>
    <mergeCell ref="E9:F9"/>
    <mergeCell ref="I9:J9"/>
    <mergeCell ref="L9:M9"/>
    <mergeCell ref="C11:D11"/>
    <mergeCell ref="E11:F11"/>
    <mergeCell ref="I11:J11"/>
    <mergeCell ref="L11:M11"/>
    <mergeCell ref="C12:D12"/>
    <mergeCell ref="E12:F12"/>
    <mergeCell ref="I12:J12"/>
    <mergeCell ref="L12:M12"/>
    <mergeCell ref="C13:D13"/>
    <mergeCell ref="E13:F13"/>
    <mergeCell ref="I13:J13"/>
    <mergeCell ref="C20:D20"/>
    <mergeCell ref="E20:F20"/>
    <mergeCell ref="I20:J20"/>
    <mergeCell ref="L20:M20"/>
    <mergeCell ref="C25:D25"/>
    <mergeCell ref="E25:F25"/>
    <mergeCell ref="I25:J25"/>
    <mergeCell ref="L25:M25"/>
    <mergeCell ref="C26:D26"/>
    <mergeCell ref="E26:F26"/>
    <mergeCell ref="I26:J26"/>
    <mergeCell ref="L26:M26"/>
    <mergeCell ref="C23:D23"/>
    <mergeCell ref="E23:F23"/>
    <mergeCell ref="I23:J23"/>
    <mergeCell ref="L23:M23"/>
    <mergeCell ref="C24:D24"/>
    <mergeCell ref="E24:F24"/>
    <mergeCell ref="I24:J24"/>
    <mergeCell ref="L24:M24"/>
    <mergeCell ref="C29:D29"/>
    <mergeCell ref="E29:F29"/>
    <mergeCell ref="I29:J29"/>
    <mergeCell ref="L29:M29"/>
    <mergeCell ref="C30:D30"/>
    <mergeCell ref="E30:F30"/>
    <mergeCell ref="I30:J30"/>
    <mergeCell ref="L30:M30"/>
    <mergeCell ref="C27:D27"/>
    <mergeCell ref="E27:F27"/>
    <mergeCell ref="I27:J27"/>
    <mergeCell ref="L27:M27"/>
    <mergeCell ref="C28:D28"/>
    <mergeCell ref="E28:F28"/>
    <mergeCell ref="I28:J28"/>
    <mergeCell ref="L28:M28"/>
    <mergeCell ref="C33:D33"/>
    <mergeCell ref="E33:F33"/>
    <mergeCell ref="I33:J33"/>
    <mergeCell ref="L33:M33"/>
    <mergeCell ref="C34:D34"/>
    <mergeCell ref="E34:F34"/>
    <mergeCell ref="I34:J34"/>
    <mergeCell ref="L34:M34"/>
    <mergeCell ref="C31:D31"/>
    <mergeCell ref="E31:F31"/>
    <mergeCell ref="I31:J31"/>
    <mergeCell ref="L31:M31"/>
    <mergeCell ref="C32:D32"/>
    <mergeCell ref="E32:F32"/>
    <mergeCell ref="I32:J32"/>
    <mergeCell ref="L32:M32"/>
    <mergeCell ref="C37:D37"/>
    <mergeCell ref="E37:F37"/>
    <mergeCell ref="I37:J37"/>
    <mergeCell ref="L37:M37"/>
    <mergeCell ref="C35:D35"/>
    <mergeCell ref="E35:F35"/>
    <mergeCell ref="I35:J35"/>
    <mergeCell ref="L35:M35"/>
    <mergeCell ref="C36:D36"/>
    <mergeCell ref="E36:F36"/>
    <mergeCell ref="I36:J36"/>
    <mergeCell ref="L36:M3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FD25-0B92-4432-A104-1C9BA8A5D9B8}">
  <dimension ref="A1:M14"/>
  <sheetViews>
    <sheetView workbookViewId="0">
      <selection activeCell="F18" sqref="F18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0.1</v>
      </c>
      <c r="B2" s="120" t="s">
        <v>80</v>
      </c>
      <c r="C2" s="120" t="s">
        <v>81</v>
      </c>
      <c r="D2" s="120" t="s">
        <v>82</v>
      </c>
      <c r="E2" s="120" t="s">
        <v>304</v>
      </c>
      <c r="F2" s="120" t="s">
        <v>305</v>
      </c>
      <c r="G2" s="120" t="s">
        <v>306</v>
      </c>
      <c r="H2" s="120" t="s">
        <v>307</v>
      </c>
      <c r="I2" s="175">
        <v>6087209</v>
      </c>
      <c r="J2" s="120" t="s">
        <v>83</v>
      </c>
      <c r="K2" s="120" t="s">
        <v>84</v>
      </c>
      <c r="L2" s="120" t="s">
        <v>308</v>
      </c>
      <c r="M2" s="124">
        <f t="shared" ref="M2:M4" si="0">+I2/1.19</f>
        <v>5115301.6806722693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309</v>
      </c>
      <c r="F3" s="120" t="s">
        <v>310</v>
      </c>
      <c r="G3" s="120" t="s">
        <v>306</v>
      </c>
      <c r="H3" s="120" t="s">
        <v>307</v>
      </c>
      <c r="I3" s="175">
        <v>2434884</v>
      </c>
      <c r="J3" s="120" t="s">
        <v>83</v>
      </c>
      <c r="K3" s="120" t="s">
        <v>84</v>
      </c>
      <c r="L3" s="120" t="s">
        <v>311</v>
      </c>
      <c r="M3" s="124">
        <f t="shared" si="0"/>
        <v>2046121.0084033615</v>
      </c>
    </row>
    <row r="4" spans="1:13" x14ac:dyDescent="0.25">
      <c r="A4" s="121">
        <v>0.08</v>
      </c>
      <c r="B4" s="120" t="s">
        <v>80</v>
      </c>
      <c r="C4" s="120" t="s">
        <v>81</v>
      </c>
      <c r="D4" s="120" t="s">
        <v>82</v>
      </c>
      <c r="E4" s="120" t="s">
        <v>312</v>
      </c>
      <c r="F4" s="120" t="s">
        <v>313</v>
      </c>
      <c r="G4" s="120" t="s">
        <v>306</v>
      </c>
      <c r="H4" s="120" t="s">
        <v>307</v>
      </c>
      <c r="I4" s="175">
        <v>4869768</v>
      </c>
      <c r="J4" s="120" t="s">
        <v>83</v>
      </c>
      <c r="K4" s="120" t="s">
        <v>84</v>
      </c>
      <c r="L4" s="120" t="s">
        <v>314</v>
      </c>
      <c r="M4" s="124">
        <f t="shared" si="0"/>
        <v>4092242.0168067231</v>
      </c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315</v>
      </c>
      <c r="D7" s="93"/>
      <c r="E7" s="125"/>
      <c r="F7" s="93"/>
      <c r="G7" s="93"/>
      <c r="H7" s="93"/>
    </row>
    <row r="8" spans="1:13" x14ac:dyDescent="0.25">
      <c r="C8" s="125" t="s">
        <v>317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>
        <v>19277069</v>
      </c>
      <c r="E10" s="176" t="s">
        <v>316</v>
      </c>
      <c r="F10" s="129">
        <f>+M2</f>
        <v>5115301.6806722693</v>
      </c>
      <c r="G10" s="189">
        <f>+'CTA CORRIENTE'!H99+'CTA CORRIENTE'!H103+'CTA CORRIENTE'!H107</f>
        <v>5115302</v>
      </c>
      <c r="H10" s="130">
        <f>+G10-F10</f>
        <v>0.31932773068547249</v>
      </c>
    </row>
    <row r="11" spans="1:13" x14ac:dyDescent="0.25">
      <c r="C11" s="121">
        <v>0.08</v>
      </c>
      <c r="D11" s="127">
        <v>19278147</v>
      </c>
      <c r="E11" s="176" t="s">
        <v>316</v>
      </c>
      <c r="F11" s="129">
        <f>+M4</f>
        <v>4092242.0168067231</v>
      </c>
      <c r="G11" s="130">
        <f>+'CTA CORRIENTE'!H100+'CTA CORRIENTE'!H104+'CTA CORRIENTE'!H108</f>
        <v>4092241.6</v>
      </c>
      <c r="H11" s="130">
        <f>+G11-F11</f>
        <v>-0.4168067229911685</v>
      </c>
    </row>
    <row r="12" spans="1:13" x14ac:dyDescent="0.25">
      <c r="C12" s="121">
        <v>0.04</v>
      </c>
      <c r="D12" s="127">
        <v>19277739</v>
      </c>
      <c r="E12" s="176" t="s">
        <v>316</v>
      </c>
      <c r="F12" s="129">
        <f>+M3</f>
        <v>2046121.0084033615</v>
      </c>
      <c r="G12" s="130">
        <f>+'CTA CORRIENTE'!H101+'CTA CORRIENTE'!H105+'CTA CORRIENTE'!H109</f>
        <v>2046120.8</v>
      </c>
      <c r="H12" s="130">
        <f t="shared" ref="H12" si="1">+G12-F12</f>
        <v>-0.20840336149558425</v>
      </c>
    </row>
    <row r="13" spans="1:13" x14ac:dyDescent="0.25">
      <c r="C13" s="133" t="s">
        <v>91</v>
      </c>
      <c r="D13" s="133"/>
      <c r="E13" s="133"/>
      <c r="F13" s="134">
        <f>+SUM(F10:F12)</f>
        <v>11253664.705882354</v>
      </c>
      <c r="G13" s="134">
        <f>+SUM(G10:G12)</f>
        <v>11253664.4</v>
      </c>
      <c r="H13" s="134">
        <f>+SUM(H10:H12)</f>
        <v>-0.30588235380128026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0.30588235333561897</v>
      </c>
      <c r="H14" s="13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4132-7997-4AA7-9D23-31CD955F3E3E}">
  <dimension ref="A1:M16"/>
  <sheetViews>
    <sheetView workbookViewId="0">
      <selection activeCell="G5" sqref="G3:G5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88">
        <v>1E-3</v>
      </c>
      <c r="B2" s="182" t="s">
        <v>80</v>
      </c>
      <c r="C2" s="182" t="s">
        <v>81</v>
      </c>
      <c r="D2" s="182" t="s">
        <v>82</v>
      </c>
      <c r="E2" s="182" t="s">
        <v>279</v>
      </c>
      <c r="F2" s="182" t="s">
        <v>280</v>
      </c>
      <c r="G2" s="182" t="s">
        <v>281</v>
      </c>
      <c r="H2" s="182" t="s">
        <v>282</v>
      </c>
      <c r="I2" s="183">
        <v>318638</v>
      </c>
      <c r="J2" s="182" t="s">
        <v>83</v>
      </c>
      <c r="K2" s="182" t="s">
        <v>84</v>
      </c>
      <c r="L2" s="120" t="s">
        <v>283</v>
      </c>
      <c r="M2" s="124">
        <f>+I2/1.19</f>
        <v>267763.02521008404</v>
      </c>
    </row>
    <row r="3" spans="1:13" x14ac:dyDescent="0.25">
      <c r="A3" s="121">
        <v>0.08</v>
      </c>
      <c r="B3" s="182" t="s">
        <v>80</v>
      </c>
      <c r="C3" s="182" t="s">
        <v>81</v>
      </c>
      <c r="D3" s="182" t="s">
        <v>82</v>
      </c>
      <c r="E3" s="182" t="s">
        <v>284</v>
      </c>
      <c r="F3" s="182" t="s">
        <v>285</v>
      </c>
      <c r="G3" s="182" t="s">
        <v>286</v>
      </c>
      <c r="H3" s="182" t="s">
        <v>282</v>
      </c>
      <c r="I3" s="183">
        <v>1933210</v>
      </c>
      <c r="J3" s="182" t="s">
        <v>83</v>
      </c>
      <c r="K3" s="182" t="s">
        <v>84</v>
      </c>
      <c r="L3" s="120" t="s">
        <v>287</v>
      </c>
      <c r="M3" s="124">
        <f t="shared" ref="M3:M6" si="0">+I3/1.19</f>
        <v>1624546.218487395</v>
      </c>
    </row>
    <row r="4" spans="1:13" x14ac:dyDescent="0.25">
      <c r="A4" s="121">
        <v>0.04</v>
      </c>
      <c r="B4" s="182" t="s">
        <v>80</v>
      </c>
      <c r="C4" s="182" t="s">
        <v>81</v>
      </c>
      <c r="D4" s="182" t="s">
        <v>82</v>
      </c>
      <c r="E4" s="182" t="s">
        <v>288</v>
      </c>
      <c r="F4" s="182" t="s">
        <v>289</v>
      </c>
      <c r="G4" s="182" t="s">
        <v>286</v>
      </c>
      <c r="H4" s="182" t="s">
        <v>282</v>
      </c>
      <c r="I4" s="183">
        <v>966605</v>
      </c>
      <c r="J4" s="182" t="s">
        <v>83</v>
      </c>
      <c r="K4" s="182" t="s">
        <v>84</v>
      </c>
      <c r="L4" s="120" t="s">
        <v>290</v>
      </c>
      <c r="M4" s="124">
        <f t="shared" si="0"/>
        <v>812273.10924369749</v>
      </c>
    </row>
    <row r="5" spans="1:13" x14ac:dyDescent="0.25">
      <c r="A5" s="121">
        <v>0.1</v>
      </c>
      <c r="B5" s="182" t="s">
        <v>80</v>
      </c>
      <c r="C5" s="182" t="s">
        <v>81</v>
      </c>
      <c r="D5" s="182" t="s">
        <v>82</v>
      </c>
      <c r="E5" s="182" t="s">
        <v>291</v>
      </c>
      <c r="F5" s="182" t="s">
        <v>292</v>
      </c>
      <c r="G5" s="182" t="s">
        <v>286</v>
      </c>
      <c r="H5" s="182" t="s">
        <v>282</v>
      </c>
      <c r="I5" s="183">
        <v>2416513</v>
      </c>
      <c r="J5" s="182" t="s">
        <v>83</v>
      </c>
      <c r="K5" s="182" t="s">
        <v>84</v>
      </c>
      <c r="L5" s="120" t="s">
        <v>293</v>
      </c>
      <c r="M5" s="124">
        <f t="shared" si="0"/>
        <v>2030683.193277311</v>
      </c>
    </row>
    <row r="6" spans="1:13" x14ac:dyDescent="0.25">
      <c r="A6" s="188">
        <v>1E-3</v>
      </c>
      <c r="B6" s="182" t="s">
        <v>80</v>
      </c>
      <c r="C6" s="182" t="s">
        <v>81</v>
      </c>
      <c r="D6" s="182" t="s">
        <v>82</v>
      </c>
      <c r="E6" s="182" t="s">
        <v>294</v>
      </c>
      <c r="F6" s="182" t="s">
        <v>295</v>
      </c>
      <c r="G6" s="182" t="s">
        <v>281</v>
      </c>
      <c r="H6" s="182" t="s">
        <v>282</v>
      </c>
      <c r="I6" s="183">
        <v>10276</v>
      </c>
      <c r="J6" s="182" t="s">
        <v>83</v>
      </c>
      <c r="K6" s="182" t="s">
        <v>84</v>
      </c>
      <c r="L6" s="120" t="s">
        <v>296</v>
      </c>
      <c r="M6" s="124">
        <f t="shared" si="0"/>
        <v>8635.2941176470595</v>
      </c>
    </row>
    <row r="8" spans="1:13" x14ac:dyDescent="0.25">
      <c r="C8" s="93"/>
      <c r="D8" s="93"/>
      <c r="E8" s="93"/>
      <c r="F8" s="93"/>
      <c r="G8" s="93"/>
      <c r="H8" s="93"/>
    </row>
    <row r="9" spans="1:13" x14ac:dyDescent="0.25">
      <c r="C9" s="125" t="s">
        <v>297</v>
      </c>
      <c r="D9" s="93"/>
      <c r="E9" s="125"/>
      <c r="F9" s="93"/>
      <c r="G9" s="93"/>
      <c r="H9" s="93"/>
    </row>
    <row r="10" spans="1:13" x14ac:dyDescent="0.25">
      <c r="C10" s="125" t="s">
        <v>298</v>
      </c>
      <c r="D10" s="125"/>
      <c r="E10" s="93"/>
      <c r="F10" s="93"/>
      <c r="G10" s="93"/>
      <c r="H10" s="93"/>
    </row>
    <row r="11" spans="1:13" x14ac:dyDescent="0.25">
      <c r="C11" s="126" t="s">
        <v>85</v>
      </c>
      <c r="D11" s="126" t="s">
        <v>86</v>
      </c>
      <c r="E11" s="126" t="s">
        <v>87</v>
      </c>
      <c r="F11" s="126" t="s">
        <v>88</v>
      </c>
      <c r="G11" s="126" t="s">
        <v>89</v>
      </c>
      <c r="H11" s="126" t="s">
        <v>90</v>
      </c>
    </row>
    <row r="12" spans="1:13" x14ac:dyDescent="0.25">
      <c r="C12" s="121">
        <v>0.1</v>
      </c>
      <c r="D12" s="127">
        <v>19273603</v>
      </c>
      <c r="E12" s="176" t="s">
        <v>299</v>
      </c>
      <c r="F12" s="129">
        <f>+M5</f>
        <v>2030683.193277311</v>
      </c>
      <c r="G12" s="189">
        <f>+'CTA CORRIENTE'!H93</f>
        <v>2030682.8</v>
      </c>
      <c r="H12" s="130">
        <f>+G12-F12</f>
        <v>-0.39327731099911034</v>
      </c>
    </row>
    <row r="13" spans="1:13" x14ac:dyDescent="0.25">
      <c r="C13" s="121">
        <v>0.08</v>
      </c>
      <c r="D13" s="127">
        <v>19274698</v>
      </c>
      <c r="E13" s="176" t="s">
        <v>299</v>
      </c>
      <c r="F13" s="129">
        <f>+M3</f>
        <v>1624546.218487395</v>
      </c>
      <c r="G13" s="130">
        <f>+'CTA CORRIENTE'!H94</f>
        <v>1624546.24</v>
      </c>
      <c r="H13" s="130">
        <f>+G13-F13</f>
        <v>2.1512605017051101E-2</v>
      </c>
    </row>
    <row r="14" spans="1:13" x14ac:dyDescent="0.25">
      <c r="C14" s="121">
        <v>0.04</v>
      </c>
      <c r="D14" s="127">
        <v>19274208</v>
      </c>
      <c r="E14" s="176" t="s">
        <v>299</v>
      </c>
      <c r="F14" s="129">
        <f>+M4</f>
        <v>812273.10924369749</v>
      </c>
      <c r="G14" s="190">
        <f>+'CTA CORRIENTE'!H95</f>
        <v>812273.12</v>
      </c>
      <c r="H14" s="130">
        <f t="shared" ref="H14" si="1">+G14-F14</f>
        <v>1.075630250852555E-2</v>
      </c>
    </row>
    <row r="15" spans="1:13" x14ac:dyDescent="0.25">
      <c r="C15" s="133" t="s">
        <v>91</v>
      </c>
      <c r="D15" s="133"/>
      <c r="E15" s="133"/>
      <c r="F15" s="134">
        <f>+SUM(F12:F14)</f>
        <v>4467502.521008404</v>
      </c>
      <c r="G15" s="134">
        <f>+SUM(G12:G14)</f>
        <v>4467502.16</v>
      </c>
      <c r="H15" s="134">
        <f>+SUM(H12:H14)</f>
        <v>-0.36100840347353369</v>
      </c>
    </row>
    <row r="16" spans="1:13" x14ac:dyDescent="0.25">
      <c r="C16" s="133" t="s">
        <v>92</v>
      </c>
      <c r="D16" s="133"/>
      <c r="E16" s="133"/>
      <c r="F16" s="135"/>
      <c r="G16" s="134">
        <f>+F15-G15</f>
        <v>0.36100840382277966</v>
      </c>
      <c r="H16" s="13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6B3-D9CF-4600-968F-6525FB6CB0D5}">
  <dimension ref="A1:M16"/>
  <sheetViews>
    <sheetView workbookViewId="0">
      <selection activeCell="I2" sqref="I2:I4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82" t="s">
        <v>80</v>
      </c>
      <c r="C2" s="182" t="s">
        <v>81</v>
      </c>
      <c r="D2" s="182" t="s">
        <v>82</v>
      </c>
      <c r="E2" s="182" t="s">
        <v>266</v>
      </c>
      <c r="F2" s="182" t="s">
        <v>267</v>
      </c>
      <c r="G2" s="182" t="s">
        <v>268</v>
      </c>
      <c r="H2" s="182" t="s">
        <v>248</v>
      </c>
      <c r="I2" s="183">
        <v>1956477</v>
      </c>
      <c r="J2" s="182" t="s">
        <v>83</v>
      </c>
      <c r="K2" s="182" t="s">
        <v>84</v>
      </c>
      <c r="L2" s="120" t="s">
        <v>269</v>
      </c>
      <c r="M2" s="124">
        <f>+I2/1.19</f>
        <v>1644098.3193277312</v>
      </c>
    </row>
    <row r="3" spans="1:13" x14ac:dyDescent="0.25">
      <c r="A3" s="121">
        <v>0.04</v>
      </c>
      <c r="B3" s="182" t="s">
        <v>80</v>
      </c>
      <c r="C3" s="182" t="s">
        <v>81</v>
      </c>
      <c r="D3" s="182" t="s">
        <v>82</v>
      </c>
      <c r="E3" s="182" t="s">
        <v>270</v>
      </c>
      <c r="F3" s="182" t="s">
        <v>271</v>
      </c>
      <c r="G3" s="182" t="s">
        <v>268</v>
      </c>
      <c r="H3" s="182" t="s">
        <v>248</v>
      </c>
      <c r="I3" s="183">
        <v>978237</v>
      </c>
      <c r="J3" s="182" t="s">
        <v>83</v>
      </c>
      <c r="K3" s="182" t="s">
        <v>84</v>
      </c>
      <c r="L3" s="120" t="s">
        <v>272</v>
      </c>
      <c r="M3" s="124">
        <f t="shared" ref="M3:M6" si="0">+I3/1.19</f>
        <v>822047.89915966394</v>
      </c>
    </row>
    <row r="4" spans="1:13" x14ac:dyDescent="0.25">
      <c r="A4" s="121">
        <v>0.1</v>
      </c>
      <c r="B4" s="182" t="s">
        <v>80</v>
      </c>
      <c r="C4" s="182" t="s">
        <v>81</v>
      </c>
      <c r="D4" s="182" t="s">
        <v>82</v>
      </c>
      <c r="E4" s="182" t="s">
        <v>273</v>
      </c>
      <c r="F4" s="182" t="s">
        <v>274</v>
      </c>
      <c r="G4" s="182" t="s">
        <v>268</v>
      </c>
      <c r="H4" s="182" t="s">
        <v>248</v>
      </c>
      <c r="I4" s="183">
        <v>2445595</v>
      </c>
      <c r="J4" s="182" t="s">
        <v>83</v>
      </c>
      <c r="K4" s="182" t="s">
        <v>84</v>
      </c>
      <c r="L4" s="120" t="s">
        <v>275</v>
      </c>
      <c r="M4" s="124">
        <f t="shared" si="0"/>
        <v>2055121.848739496</v>
      </c>
    </row>
    <row r="5" spans="1:13" x14ac:dyDescent="0.25">
      <c r="A5" s="121"/>
      <c r="B5" s="182"/>
      <c r="C5" s="182"/>
      <c r="D5" s="182"/>
      <c r="E5" s="182"/>
      <c r="F5" s="182"/>
      <c r="G5" s="182"/>
      <c r="H5" s="182"/>
      <c r="I5" s="183"/>
      <c r="J5" s="182"/>
      <c r="K5" s="182"/>
      <c r="L5" s="120"/>
      <c r="M5" s="124">
        <f t="shared" si="0"/>
        <v>0</v>
      </c>
    </row>
    <row r="6" spans="1:13" x14ac:dyDescent="0.25">
      <c r="A6" s="121"/>
      <c r="B6" s="182"/>
      <c r="C6" s="182"/>
      <c r="D6" s="182"/>
      <c r="E6" s="182"/>
      <c r="F6" s="182"/>
      <c r="G6" s="182"/>
      <c r="H6" s="182"/>
      <c r="I6" s="183"/>
      <c r="J6" s="182"/>
      <c r="K6" s="182"/>
      <c r="L6" s="120"/>
      <c r="M6" s="124">
        <f t="shared" si="0"/>
        <v>0</v>
      </c>
    </row>
    <row r="8" spans="1:13" x14ac:dyDescent="0.25">
      <c r="C8" s="93"/>
      <c r="D8" s="93"/>
      <c r="E8" s="93"/>
      <c r="F8" s="93"/>
      <c r="G8" s="93"/>
      <c r="H8" s="93"/>
    </row>
    <row r="9" spans="1:13" x14ac:dyDescent="0.25">
      <c r="C9" s="125" t="s">
        <v>278</v>
      </c>
      <c r="D9" s="93"/>
      <c r="E9" s="125"/>
      <c r="F9" s="93"/>
      <c r="G9" s="93"/>
      <c r="H9" s="93"/>
    </row>
    <row r="10" spans="1:13" x14ac:dyDescent="0.25">
      <c r="C10" s="125" t="s">
        <v>276</v>
      </c>
      <c r="D10" s="125"/>
      <c r="E10" s="93"/>
      <c r="F10" s="93"/>
      <c r="G10" s="93"/>
      <c r="H10" s="93"/>
    </row>
    <row r="11" spans="1:13" x14ac:dyDescent="0.25">
      <c r="C11" s="126" t="s">
        <v>85</v>
      </c>
      <c r="D11" s="126" t="s">
        <v>86</v>
      </c>
      <c r="E11" s="126" t="s">
        <v>87</v>
      </c>
      <c r="F11" s="126" t="s">
        <v>88</v>
      </c>
      <c r="G11" s="126" t="s">
        <v>89</v>
      </c>
      <c r="H11" s="126" t="s">
        <v>90</v>
      </c>
    </row>
    <row r="12" spans="1:13" x14ac:dyDescent="0.25">
      <c r="C12" s="121">
        <v>0.1</v>
      </c>
      <c r="D12" s="127">
        <v>19269517</v>
      </c>
      <c r="E12" s="176" t="s">
        <v>277</v>
      </c>
      <c r="F12" s="129">
        <f>+M4</f>
        <v>2055121.848739496</v>
      </c>
      <c r="G12" s="130">
        <f>+'CTA CORRIENTE'!H89</f>
        <v>2055122</v>
      </c>
      <c r="H12" s="130">
        <f>+G12-F12</f>
        <v>0.15126050403341651</v>
      </c>
    </row>
    <row r="13" spans="1:13" x14ac:dyDescent="0.25">
      <c r="C13" s="121">
        <v>0.08</v>
      </c>
      <c r="D13" s="127">
        <v>19270495</v>
      </c>
      <c r="E13" s="176" t="s">
        <v>277</v>
      </c>
      <c r="F13" s="129">
        <f>+M2</f>
        <v>1644098.3193277312</v>
      </c>
      <c r="G13" s="130">
        <f>+'CTA CORRIENTE'!H90</f>
        <v>1644097.6</v>
      </c>
      <c r="H13" s="130">
        <f>+G13-F13</f>
        <v>-0.71932773105800152</v>
      </c>
    </row>
    <row r="14" spans="1:13" x14ac:dyDescent="0.25">
      <c r="C14" s="121">
        <v>0.04</v>
      </c>
      <c r="D14" s="127">
        <v>19270061</v>
      </c>
      <c r="E14" s="177" t="s">
        <v>277</v>
      </c>
      <c r="F14" s="129">
        <f>+M3</f>
        <v>822047.89915966394</v>
      </c>
      <c r="G14" s="130">
        <f>+'CTA CORRIENTE'!H91</f>
        <v>822048.8</v>
      </c>
      <c r="H14" s="130">
        <f t="shared" ref="H14" si="1">+G14-F14</f>
        <v>0.90084033610764891</v>
      </c>
    </row>
    <row r="15" spans="1:13" x14ac:dyDescent="0.25">
      <c r="C15" s="133" t="s">
        <v>91</v>
      </c>
      <c r="D15" s="133"/>
      <c r="E15" s="133"/>
      <c r="F15" s="134">
        <f>+SUM(F12:F14)</f>
        <v>4521268.0672268914</v>
      </c>
      <c r="G15" s="134">
        <f>+SUM(G12:G14)</f>
        <v>4521268.4000000004</v>
      </c>
      <c r="H15" s="134">
        <f>+SUM(H12:H14)</f>
        <v>0.3327731090830639</v>
      </c>
    </row>
    <row r="16" spans="1:13" x14ac:dyDescent="0.25">
      <c r="C16" s="133" t="s">
        <v>92</v>
      </c>
      <c r="D16" s="133"/>
      <c r="E16" s="133"/>
      <c r="F16" s="135"/>
      <c r="G16" s="134">
        <f>+F15-G15</f>
        <v>-0.33277310896664858</v>
      </c>
      <c r="H16" s="1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CF1B-B797-4B32-87F8-262F4ECDEC4D}">
  <sheetPr>
    <tabColor theme="4" tint="0.59999389629810485"/>
  </sheetPr>
  <dimension ref="A1:D49"/>
  <sheetViews>
    <sheetView workbookViewId="0">
      <selection activeCell="E8" sqref="E8"/>
    </sheetView>
  </sheetViews>
  <sheetFormatPr baseColWidth="10" defaultRowHeight="15" x14ac:dyDescent="0.25"/>
  <cols>
    <col min="1" max="1" width="17.5703125" bestFit="1" customWidth="1"/>
    <col min="2" max="2" width="17.7109375" style="97" bestFit="1" customWidth="1"/>
  </cols>
  <sheetData>
    <row r="1" spans="1:3" x14ac:dyDescent="0.25">
      <c r="A1" s="212" t="s">
        <v>3</v>
      </c>
      <c r="B1" s="97" t="s">
        <v>24</v>
      </c>
    </row>
    <row r="2" spans="1:3" x14ac:dyDescent="0.25">
      <c r="A2" s="212" t="s">
        <v>5</v>
      </c>
      <c r="B2" s="97" t="s">
        <v>26</v>
      </c>
    </row>
    <row r="4" spans="1:3" x14ac:dyDescent="0.25">
      <c r="A4" s="212" t="s">
        <v>558</v>
      </c>
      <c r="B4" s="97" t="s">
        <v>560</v>
      </c>
    </row>
    <row r="5" spans="1:3" x14ac:dyDescent="0.25">
      <c r="A5" s="154">
        <v>19244759</v>
      </c>
      <c r="B5" s="97">
        <v>4030263.4134453787</v>
      </c>
      <c r="C5" t="s">
        <v>562</v>
      </c>
    </row>
    <row r="6" spans="1:3" x14ac:dyDescent="0.25">
      <c r="A6" s="154">
        <v>19245410</v>
      </c>
      <c r="B6" s="97">
        <v>1612105.3653781512</v>
      </c>
      <c r="C6" t="s">
        <v>562</v>
      </c>
    </row>
    <row r="7" spans="1:3" x14ac:dyDescent="0.25">
      <c r="A7" s="154">
        <v>19245921</v>
      </c>
      <c r="B7" s="97">
        <v>3224210.7307563024</v>
      </c>
      <c r="C7" t="s">
        <v>562</v>
      </c>
    </row>
    <row r="8" spans="1:3" x14ac:dyDescent="0.25">
      <c r="A8" s="154">
        <v>19249854</v>
      </c>
      <c r="B8" s="97">
        <v>40303.361344537814</v>
      </c>
      <c r="C8" t="s">
        <v>562</v>
      </c>
    </row>
    <row r="9" spans="1:3" x14ac:dyDescent="0.25">
      <c r="A9" s="154">
        <v>19252557</v>
      </c>
      <c r="B9" s="97">
        <v>6983329.0403361339</v>
      </c>
      <c r="C9" t="s">
        <v>562</v>
      </c>
    </row>
    <row r="10" spans="1:3" x14ac:dyDescent="0.25">
      <c r="A10" s="154">
        <v>19253264</v>
      </c>
      <c r="B10" s="97">
        <v>2793331.6161344536</v>
      </c>
      <c r="C10" t="s">
        <v>562</v>
      </c>
    </row>
    <row r="11" spans="1:3" x14ac:dyDescent="0.25">
      <c r="A11" s="154">
        <v>19253779</v>
      </c>
      <c r="B11" s="97">
        <v>5586663.2322689071</v>
      </c>
      <c r="C11" t="s">
        <v>562</v>
      </c>
    </row>
    <row r="12" spans="1:3" x14ac:dyDescent="0.25">
      <c r="A12" s="154">
        <v>19257145</v>
      </c>
      <c r="B12" s="97">
        <v>4216648</v>
      </c>
      <c r="C12" t="s">
        <v>562</v>
      </c>
    </row>
    <row r="13" spans="1:3" x14ac:dyDescent="0.25">
      <c r="A13" s="154">
        <v>19257865</v>
      </c>
      <c r="B13" s="97">
        <v>1686659.2</v>
      </c>
      <c r="C13" s="97" t="s">
        <v>562</v>
      </c>
    </row>
    <row r="14" spans="1:3" x14ac:dyDescent="0.25">
      <c r="A14" s="154">
        <v>19258349</v>
      </c>
      <c r="B14" s="97">
        <v>3373318.4</v>
      </c>
      <c r="C14" s="97" t="s">
        <v>562</v>
      </c>
    </row>
    <row r="15" spans="1:3" x14ac:dyDescent="0.25">
      <c r="A15" s="154">
        <v>19259972</v>
      </c>
      <c r="B15" s="97">
        <v>9596262.1999999993</v>
      </c>
      <c r="C15" s="97" t="s">
        <v>562</v>
      </c>
    </row>
    <row r="16" spans="1:3" x14ac:dyDescent="0.25">
      <c r="A16" s="154">
        <v>19261566</v>
      </c>
      <c r="B16" s="97">
        <v>276288</v>
      </c>
      <c r="C16" s="97" t="s">
        <v>562</v>
      </c>
    </row>
    <row r="17" spans="1:4" x14ac:dyDescent="0.25">
      <c r="A17" s="154">
        <v>19261567</v>
      </c>
      <c r="B17" s="97">
        <v>3838504.88</v>
      </c>
      <c r="C17" s="97" t="s">
        <v>562</v>
      </c>
    </row>
    <row r="18" spans="1:4" x14ac:dyDescent="0.25">
      <c r="A18" s="154">
        <v>19262024</v>
      </c>
      <c r="B18" s="97">
        <v>7677009.7599999998</v>
      </c>
      <c r="C18" s="97" t="s">
        <v>562</v>
      </c>
    </row>
    <row r="19" spans="1:4" x14ac:dyDescent="0.25">
      <c r="A19" s="154">
        <v>19262025</v>
      </c>
      <c r="B19" s="97">
        <v>552576</v>
      </c>
      <c r="C19" s="97" t="s">
        <v>562</v>
      </c>
    </row>
    <row r="20" spans="1:4" x14ac:dyDescent="0.25">
      <c r="A20" s="154">
        <v>19265049</v>
      </c>
      <c r="B20" s="97">
        <v>3925032.4000000004</v>
      </c>
      <c r="C20" s="97" t="s">
        <v>562</v>
      </c>
    </row>
    <row r="21" spans="1:4" x14ac:dyDescent="0.25">
      <c r="A21" s="154">
        <v>19266019</v>
      </c>
      <c r="B21" s="97">
        <v>69072</v>
      </c>
      <c r="C21" s="97" t="s">
        <v>562</v>
      </c>
    </row>
    <row r="22" spans="1:4" x14ac:dyDescent="0.25">
      <c r="A22" s="154">
        <v>19266020</v>
      </c>
      <c r="B22" s="97">
        <v>1570012.96</v>
      </c>
      <c r="C22" t="s">
        <v>562</v>
      </c>
    </row>
    <row r="23" spans="1:4" x14ac:dyDescent="0.25">
      <c r="A23" s="154">
        <v>19266411</v>
      </c>
      <c r="B23" s="97">
        <v>3140025.92</v>
      </c>
      <c r="C23" t="s">
        <v>562</v>
      </c>
    </row>
    <row r="24" spans="1:4" x14ac:dyDescent="0.25">
      <c r="A24" s="154">
        <v>19266412</v>
      </c>
      <c r="B24" s="97">
        <v>138144</v>
      </c>
      <c r="C24" t="s">
        <v>562</v>
      </c>
    </row>
    <row r="25" spans="1:4" x14ac:dyDescent="0.25">
      <c r="A25" s="154">
        <v>19269517</v>
      </c>
      <c r="B25" s="97">
        <v>2055122</v>
      </c>
      <c r="C25" t="s">
        <v>562</v>
      </c>
    </row>
    <row r="26" spans="1:4" x14ac:dyDescent="0.25">
      <c r="A26" s="154">
        <v>19270061</v>
      </c>
      <c r="B26" s="97">
        <v>822048.8</v>
      </c>
      <c r="C26" t="s">
        <v>562</v>
      </c>
      <c r="D26" t="s">
        <v>563</v>
      </c>
    </row>
    <row r="27" spans="1:4" x14ac:dyDescent="0.25">
      <c r="A27" s="154">
        <v>19270495</v>
      </c>
      <c r="B27" s="97">
        <v>1644097.6</v>
      </c>
      <c r="C27" t="s">
        <v>562</v>
      </c>
    </row>
    <row r="28" spans="1:4" x14ac:dyDescent="0.25">
      <c r="A28" s="154">
        <v>19272422</v>
      </c>
      <c r="B28" s="97">
        <v>267763.02521008404</v>
      </c>
      <c r="C28" t="s">
        <v>562</v>
      </c>
    </row>
    <row r="29" spans="1:4" x14ac:dyDescent="0.25">
      <c r="A29" s="154">
        <v>19272423</v>
      </c>
      <c r="B29" s="97">
        <v>8635.2941176470595</v>
      </c>
      <c r="C29" t="s">
        <v>562</v>
      </c>
    </row>
    <row r="30" spans="1:4" x14ac:dyDescent="0.25">
      <c r="A30" s="154">
        <v>19273603</v>
      </c>
      <c r="B30" s="97">
        <v>2030682.8</v>
      </c>
      <c r="C30" t="s">
        <v>562</v>
      </c>
    </row>
    <row r="31" spans="1:4" x14ac:dyDescent="0.25">
      <c r="A31" s="154">
        <v>19274208</v>
      </c>
      <c r="B31" s="97">
        <v>812273.12</v>
      </c>
      <c r="C31" t="s">
        <v>562</v>
      </c>
    </row>
    <row r="32" spans="1:4" x14ac:dyDescent="0.25">
      <c r="A32" s="154">
        <v>19274698</v>
      </c>
      <c r="B32" s="97">
        <v>1624546.24</v>
      </c>
      <c r="C32" t="s">
        <v>562</v>
      </c>
    </row>
    <row r="33" spans="1:4" x14ac:dyDescent="0.25">
      <c r="A33" s="154">
        <v>19277069</v>
      </c>
      <c r="B33" s="97">
        <v>5115302</v>
      </c>
      <c r="C33" s="97" t="s">
        <v>562</v>
      </c>
    </row>
    <row r="34" spans="1:4" x14ac:dyDescent="0.25">
      <c r="A34" s="154">
        <v>19277739</v>
      </c>
      <c r="B34" s="97">
        <v>2046120.8</v>
      </c>
      <c r="C34" s="97" t="s">
        <v>562</v>
      </c>
    </row>
    <row r="35" spans="1:4" x14ac:dyDescent="0.25">
      <c r="A35" s="154">
        <v>19278147</v>
      </c>
      <c r="B35" s="97">
        <v>4092241.6</v>
      </c>
      <c r="C35" s="97" t="s">
        <v>562</v>
      </c>
    </row>
    <row r="36" spans="1:4" x14ac:dyDescent="0.25">
      <c r="A36" s="154">
        <v>19280792</v>
      </c>
      <c r="B36" s="97">
        <v>5212828.6521008406</v>
      </c>
      <c r="C36" t="s">
        <v>562</v>
      </c>
      <c r="D36" t="s">
        <v>563</v>
      </c>
    </row>
    <row r="37" spans="1:4" x14ac:dyDescent="0.25">
      <c r="A37" s="154">
        <v>19281508</v>
      </c>
      <c r="B37" s="97">
        <v>2085131.4608403363</v>
      </c>
      <c r="C37" t="s">
        <v>562</v>
      </c>
    </row>
    <row r="38" spans="1:4" x14ac:dyDescent="0.25">
      <c r="A38" s="154">
        <v>19281982</v>
      </c>
      <c r="B38" s="97">
        <v>4170262.9216806726</v>
      </c>
      <c r="C38" t="s">
        <v>562</v>
      </c>
    </row>
    <row r="39" spans="1:4" x14ac:dyDescent="0.25">
      <c r="A39" s="154">
        <v>19283976</v>
      </c>
      <c r="B39" s="97">
        <v>5822658.4000000004</v>
      </c>
      <c r="C39" t="s">
        <v>562</v>
      </c>
    </row>
    <row r="40" spans="1:4" x14ac:dyDescent="0.25">
      <c r="A40" s="154">
        <v>19286657</v>
      </c>
      <c r="B40" s="97">
        <v>2329063.3600000003</v>
      </c>
      <c r="C40" t="s">
        <v>562</v>
      </c>
    </row>
    <row r="41" spans="1:4" x14ac:dyDescent="0.25">
      <c r="A41" s="154">
        <v>19287165</v>
      </c>
      <c r="B41" s="97">
        <v>4658126.7200000007</v>
      </c>
      <c r="C41" t="s">
        <v>562</v>
      </c>
    </row>
    <row r="42" spans="1:4" x14ac:dyDescent="0.25">
      <c r="A42" s="154">
        <v>20119558</v>
      </c>
      <c r="B42" s="97">
        <v>2634459.2000000002</v>
      </c>
      <c r="C42" s="97" t="s">
        <v>562</v>
      </c>
    </row>
    <row r="43" spans="1:4" x14ac:dyDescent="0.25">
      <c r="A43" s="154">
        <v>20120261</v>
      </c>
      <c r="B43" s="97">
        <v>1053783.68</v>
      </c>
      <c r="C43" s="97" t="s">
        <v>562</v>
      </c>
    </row>
    <row r="44" spans="1:4" x14ac:dyDescent="0.25">
      <c r="A44" s="154">
        <v>20120681</v>
      </c>
      <c r="B44" s="97">
        <v>2107567.36</v>
      </c>
      <c r="C44" s="97" t="s">
        <v>562</v>
      </c>
    </row>
    <row r="45" spans="1:4" x14ac:dyDescent="0.25">
      <c r="A45" s="154">
        <v>20124984</v>
      </c>
      <c r="B45" s="97">
        <v>5728952</v>
      </c>
      <c r="C45" s="97" t="s">
        <v>562</v>
      </c>
    </row>
    <row r="46" spans="1:4" x14ac:dyDescent="0.25">
      <c r="A46" s="154">
        <v>20125737</v>
      </c>
      <c r="B46" s="97">
        <v>2291580.7999999998</v>
      </c>
      <c r="C46" s="97" t="s">
        <v>562</v>
      </c>
    </row>
    <row r="47" spans="1:4" x14ac:dyDescent="0.25">
      <c r="A47" s="154">
        <v>20126210</v>
      </c>
      <c r="B47" s="97">
        <v>4583161.5999999996</v>
      </c>
      <c r="C47" s="97" t="s">
        <v>562</v>
      </c>
    </row>
    <row r="48" spans="1:4" x14ac:dyDescent="0.25">
      <c r="A48" s="154" t="s">
        <v>561</v>
      </c>
      <c r="B48" s="97">
        <v>863400</v>
      </c>
    </row>
    <row r="49" spans="1:2" x14ac:dyDescent="0.25">
      <c r="A49" s="154" t="s">
        <v>559</v>
      </c>
      <c r="B49" s="97">
        <v>128389569.91361342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2068-6D72-4732-8C2E-C18E43E1826C}">
  <dimension ref="A1:M18"/>
  <sheetViews>
    <sheetView workbookViewId="0">
      <selection activeCell="I2" sqref="I2:I6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0.04</v>
      </c>
      <c r="B2" s="182" t="s">
        <v>80</v>
      </c>
      <c r="C2" s="182" t="s">
        <v>81</v>
      </c>
      <c r="D2" s="182" t="s">
        <v>82</v>
      </c>
      <c r="E2" s="182" t="s">
        <v>245</v>
      </c>
      <c r="F2" s="182" t="s">
        <v>246</v>
      </c>
      <c r="G2" s="182" t="s">
        <v>247</v>
      </c>
      <c r="H2" s="182" t="s">
        <v>248</v>
      </c>
      <c r="I2" s="183">
        <v>1868315</v>
      </c>
      <c r="J2" s="182" t="s">
        <v>83</v>
      </c>
      <c r="K2" s="182" t="s">
        <v>84</v>
      </c>
      <c r="L2" s="120" t="s">
        <v>249</v>
      </c>
      <c r="M2" s="124">
        <f>+I2/1.19</f>
        <v>1570012.6050420168</v>
      </c>
    </row>
    <row r="3" spans="1:13" x14ac:dyDescent="0.25">
      <c r="A3" s="121">
        <v>0.08</v>
      </c>
      <c r="B3" s="182" t="s">
        <v>80</v>
      </c>
      <c r="C3" s="182" t="s">
        <v>81</v>
      </c>
      <c r="D3" s="182" t="s">
        <v>82</v>
      </c>
      <c r="E3" s="182" t="s">
        <v>250</v>
      </c>
      <c r="F3" s="182" t="s">
        <v>251</v>
      </c>
      <c r="G3" s="182" t="s">
        <v>247</v>
      </c>
      <c r="H3" s="182" t="s">
        <v>248</v>
      </c>
      <c r="I3" s="183">
        <v>3736631</v>
      </c>
      <c r="J3" s="182" t="s">
        <v>83</v>
      </c>
      <c r="K3" s="182" t="s">
        <v>84</v>
      </c>
      <c r="L3" s="120" t="s">
        <v>252</v>
      </c>
      <c r="M3" s="124">
        <f t="shared" ref="M3:M6" si="0">+I3/1.19</f>
        <v>3140026.0504201683</v>
      </c>
    </row>
    <row r="4" spans="1:13" x14ac:dyDescent="0.25">
      <c r="A4" s="121">
        <v>0.08</v>
      </c>
      <c r="B4" s="182" t="s">
        <v>80</v>
      </c>
      <c r="C4" s="182" t="s">
        <v>81</v>
      </c>
      <c r="D4" s="182" t="s">
        <v>82</v>
      </c>
      <c r="E4" s="182" t="s">
        <v>253</v>
      </c>
      <c r="F4" s="182" t="s">
        <v>254</v>
      </c>
      <c r="G4" s="182" t="s">
        <v>247</v>
      </c>
      <c r="H4" s="182" t="s">
        <v>248</v>
      </c>
      <c r="I4" s="183">
        <v>164391</v>
      </c>
      <c r="J4" s="182" t="s">
        <v>83</v>
      </c>
      <c r="K4" s="182" t="s">
        <v>84</v>
      </c>
      <c r="L4" s="120" t="s">
        <v>255</v>
      </c>
      <c r="M4" s="124">
        <f t="shared" si="0"/>
        <v>138143.69747899161</v>
      </c>
    </row>
    <row r="5" spans="1:13" x14ac:dyDescent="0.25">
      <c r="A5" s="121">
        <v>0.04</v>
      </c>
      <c r="B5" s="182" t="s">
        <v>80</v>
      </c>
      <c r="C5" s="182" t="s">
        <v>81</v>
      </c>
      <c r="D5" s="182" t="s">
        <v>82</v>
      </c>
      <c r="E5" s="182" t="s">
        <v>256</v>
      </c>
      <c r="F5" s="182" t="s">
        <v>257</v>
      </c>
      <c r="G5" s="182" t="s">
        <v>247</v>
      </c>
      <c r="H5" s="182" t="s">
        <v>248</v>
      </c>
      <c r="I5" s="183">
        <v>82196</v>
      </c>
      <c r="J5" s="182" t="s">
        <v>83</v>
      </c>
      <c r="K5" s="182" t="s">
        <v>84</v>
      </c>
      <c r="L5" s="120" t="s">
        <v>258</v>
      </c>
      <c r="M5" s="124">
        <f t="shared" si="0"/>
        <v>69072.268907563033</v>
      </c>
    </row>
    <row r="6" spans="1:13" x14ac:dyDescent="0.25">
      <c r="A6" s="121">
        <v>0.1</v>
      </c>
      <c r="B6" s="182" t="s">
        <v>80</v>
      </c>
      <c r="C6" s="182" t="s">
        <v>81</v>
      </c>
      <c r="D6" s="182" t="s">
        <v>82</v>
      </c>
      <c r="E6" s="182" t="s">
        <v>263</v>
      </c>
      <c r="F6" s="182" t="s">
        <v>264</v>
      </c>
      <c r="G6" s="182" t="s">
        <v>247</v>
      </c>
      <c r="H6" s="182" t="s">
        <v>248</v>
      </c>
      <c r="I6" s="183">
        <v>4670789</v>
      </c>
      <c r="J6" s="182" t="s">
        <v>83</v>
      </c>
      <c r="K6" s="182" t="s">
        <v>84</v>
      </c>
      <c r="L6" s="120" t="s">
        <v>265</v>
      </c>
      <c r="M6" s="124">
        <f t="shared" si="0"/>
        <v>3925032.7731092437</v>
      </c>
    </row>
    <row r="8" spans="1:13" x14ac:dyDescent="0.25">
      <c r="C8" s="93"/>
      <c r="D8" s="93"/>
      <c r="E8" s="93"/>
      <c r="F8" s="93"/>
      <c r="G8" s="93"/>
      <c r="H8" s="93"/>
    </row>
    <row r="9" spans="1:13" x14ac:dyDescent="0.25">
      <c r="C9" s="125" t="s">
        <v>244</v>
      </c>
      <c r="D9" s="93"/>
      <c r="E9" s="125"/>
      <c r="F9" s="93"/>
      <c r="G9" s="93"/>
      <c r="H9" s="93"/>
    </row>
    <row r="10" spans="1:13" x14ac:dyDescent="0.25">
      <c r="C10" s="125" t="s">
        <v>261</v>
      </c>
      <c r="D10" s="125"/>
      <c r="E10" s="93"/>
      <c r="F10" s="93"/>
      <c r="G10" s="93"/>
      <c r="H10" s="93"/>
    </row>
    <row r="11" spans="1:13" x14ac:dyDescent="0.25">
      <c r="C11" s="126" t="s">
        <v>85</v>
      </c>
      <c r="D11" s="126" t="s">
        <v>86</v>
      </c>
      <c r="E11" s="126" t="s">
        <v>87</v>
      </c>
      <c r="F11" s="126" t="s">
        <v>88</v>
      </c>
      <c r="G11" s="126" t="s">
        <v>89</v>
      </c>
      <c r="H11" s="126" t="s">
        <v>90</v>
      </c>
    </row>
    <row r="12" spans="1:13" x14ac:dyDescent="0.25">
      <c r="C12" s="121">
        <v>0.1</v>
      </c>
      <c r="D12" s="127">
        <v>19265049</v>
      </c>
      <c r="E12" s="176" t="s">
        <v>259</v>
      </c>
      <c r="F12" s="129">
        <f>+M6</f>
        <v>3925032.7731092437</v>
      </c>
      <c r="G12" s="130">
        <f>+'CTA CORRIENTE'!H81+'CTA CORRIENTE'!H85</f>
        <v>3925032.4000000004</v>
      </c>
      <c r="H12" s="130">
        <f>+G12-F12</f>
        <v>-0.37310924334451556</v>
      </c>
    </row>
    <row r="13" spans="1:13" x14ac:dyDescent="0.25">
      <c r="C13" s="121">
        <v>0.04</v>
      </c>
      <c r="D13" s="127">
        <v>19265049</v>
      </c>
      <c r="E13" s="176" t="s">
        <v>260</v>
      </c>
      <c r="F13" s="129">
        <f>+M5</f>
        <v>69072.268907563033</v>
      </c>
      <c r="G13" s="130">
        <f>+'CTA CORRIENTE'!H79</f>
        <v>69072</v>
      </c>
      <c r="H13" s="130"/>
    </row>
    <row r="14" spans="1:13" x14ac:dyDescent="0.25">
      <c r="C14" s="121">
        <v>0.08</v>
      </c>
      <c r="D14" s="127">
        <v>19266411</v>
      </c>
      <c r="E14" s="176" t="s">
        <v>259</v>
      </c>
      <c r="F14" s="129">
        <f>+M3</f>
        <v>3140026.0504201683</v>
      </c>
      <c r="G14" s="130">
        <f>+'CTA CORRIENTE'!H82+'CTA CORRIENTE'!H86</f>
        <v>3140025.92</v>
      </c>
      <c r="H14" s="130">
        <f t="shared" ref="H14:H16" si="1">+G14-F14</f>
        <v>-0.1304201683960855</v>
      </c>
    </row>
    <row r="15" spans="1:13" x14ac:dyDescent="0.25">
      <c r="C15" s="121">
        <v>0.04</v>
      </c>
      <c r="D15" s="127">
        <v>19266020</v>
      </c>
      <c r="E15" s="176" t="s">
        <v>259</v>
      </c>
      <c r="F15" s="129">
        <f>+M2</f>
        <v>1570012.6050420168</v>
      </c>
      <c r="G15" s="130">
        <f>+'CTA CORRIENTE'!H83+'CTA CORRIENTE'!H87</f>
        <v>1570012.96</v>
      </c>
      <c r="H15" s="130">
        <f t="shared" si="1"/>
        <v>0.35495798313058913</v>
      </c>
    </row>
    <row r="16" spans="1:13" x14ac:dyDescent="0.25">
      <c r="C16" s="121">
        <v>0.08</v>
      </c>
      <c r="D16" s="131">
        <v>19266412</v>
      </c>
      <c r="E16" s="177" t="s">
        <v>260</v>
      </c>
      <c r="F16" s="129">
        <f>+M4</f>
        <v>138143.69747899161</v>
      </c>
      <c r="G16" s="130">
        <f>+'CTA CORRIENTE'!H78</f>
        <v>138144</v>
      </c>
      <c r="H16" s="130">
        <f t="shared" si="1"/>
        <v>0.30252100838697515</v>
      </c>
    </row>
    <row r="17" spans="3:8" x14ac:dyDescent="0.25">
      <c r="C17" s="133" t="s">
        <v>91</v>
      </c>
      <c r="D17" s="133"/>
      <c r="E17" s="133"/>
      <c r="F17" s="134">
        <f>+SUM(F12:F16)</f>
        <v>8842287.394957982</v>
      </c>
      <c r="G17" s="134">
        <f>+SUM(G12:G16)</f>
        <v>8842287.2800000012</v>
      </c>
      <c r="H17" s="134">
        <f>+SUM(H12:H16)</f>
        <v>0.15394957977696322</v>
      </c>
    </row>
    <row r="18" spans="3:8" x14ac:dyDescent="0.25">
      <c r="C18" s="133" t="s">
        <v>92</v>
      </c>
      <c r="D18" s="133"/>
      <c r="E18" s="133"/>
      <c r="F18" s="135"/>
      <c r="G18" s="134">
        <f>+F17-G17</f>
        <v>0.11495798081159592</v>
      </c>
      <c r="H18" s="1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3F69-FC4F-4CC5-AFA9-3DFB102EFBC9}">
  <dimension ref="A1:M14"/>
  <sheetViews>
    <sheetView workbookViewId="0">
      <selection activeCell="I2" sqref="I2:I3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222</v>
      </c>
      <c r="F2" s="120" t="s">
        <v>223</v>
      </c>
      <c r="G2" s="120" t="s">
        <v>224</v>
      </c>
      <c r="H2" s="120" t="s">
        <v>225</v>
      </c>
      <c r="I2" s="122">
        <v>657565</v>
      </c>
      <c r="J2" s="120" t="s">
        <v>83</v>
      </c>
      <c r="K2" s="120" t="s">
        <v>84</v>
      </c>
      <c r="L2" s="120" t="s">
        <v>226</v>
      </c>
      <c r="M2" s="124">
        <f>+I2/1.19</f>
        <v>552575.63025210088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233</v>
      </c>
      <c r="F3" s="120" t="s">
        <v>234</v>
      </c>
      <c r="G3" s="120" t="s">
        <v>224</v>
      </c>
      <c r="H3" s="120" t="s">
        <v>225</v>
      </c>
      <c r="I3" s="122">
        <v>328783</v>
      </c>
      <c r="J3" s="120" t="s">
        <v>83</v>
      </c>
      <c r="K3" s="120" t="s">
        <v>84</v>
      </c>
      <c r="L3" s="120" t="s">
        <v>235</v>
      </c>
      <c r="M3" s="124">
        <f t="shared" ref="M3" si="0">+I3/1.19</f>
        <v>276288.23529411765</v>
      </c>
    </row>
    <row r="6" spans="1:13" x14ac:dyDescent="0.25">
      <c r="C6" s="93"/>
      <c r="D6" s="93"/>
      <c r="E6" s="93"/>
      <c r="F6" s="93"/>
      <c r="G6" s="93"/>
      <c r="H6" s="93"/>
    </row>
    <row r="7" spans="1:13" x14ac:dyDescent="0.25">
      <c r="C7" s="125" t="s">
        <v>239</v>
      </c>
      <c r="D7" s="93"/>
      <c r="E7" s="125"/>
      <c r="F7" s="93"/>
      <c r="G7" s="93"/>
      <c r="H7" s="93"/>
    </row>
    <row r="8" spans="1:13" x14ac:dyDescent="0.25">
      <c r="C8" s="125" t="s">
        <v>243</v>
      </c>
      <c r="D8" s="125"/>
      <c r="E8" s="93"/>
      <c r="F8" s="93"/>
      <c r="G8" s="93"/>
      <c r="H8" s="93"/>
    </row>
    <row r="9" spans="1:13" x14ac:dyDescent="0.25">
      <c r="C9" s="126" t="s">
        <v>85</v>
      </c>
      <c r="D9" s="126" t="s">
        <v>86</v>
      </c>
      <c r="E9" s="126" t="s">
        <v>87</v>
      </c>
      <c r="F9" s="126" t="s">
        <v>88</v>
      </c>
      <c r="G9" s="126" t="s">
        <v>89</v>
      </c>
      <c r="H9" s="126" t="s">
        <v>90</v>
      </c>
    </row>
    <row r="10" spans="1:13" x14ac:dyDescent="0.25">
      <c r="C10" s="121">
        <v>0.1</v>
      </c>
      <c r="D10" s="127"/>
      <c r="E10" s="176"/>
      <c r="F10" s="129"/>
      <c r="G10" s="130"/>
      <c r="H10" s="130">
        <f>+G10-F10</f>
        <v>0</v>
      </c>
    </row>
    <row r="11" spans="1:13" x14ac:dyDescent="0.25">
      <c r="C11" s="121">
        <v>0.08</v>
      </c>
      <c r="D11" s="127">
        <v>19262025</v>
      </c>
      <c r="E11" s="176" t="s">
        <v>242</v>
      </c>
      <c r="F11" s="129">
        <f>+M2</f>
        <v>552575.63025210088</v>
      </c>
      <c r="G11" s="130">
        <f>+'CTA CORRIENTE'!H62+'CTA CORRIENTE'!H66+'CTA CORRIENTE'!H70+'CTA CORRIENTE'!H74</f>
        <v>552576</v>
      </c>
      <c r="H11" s="130">
        <f t="shared" ref="H11:H12" si="1">+G11-F11</f>
        <v>0.3697478991234675</v>
      </c>
    </row>
    <row r="12" spans="1:13" x14ac:dyDescent="0.25">
      <c r="C12" s="121">
        <v>0.04</v>
      </c>
      <c r="D12" s="131">
        <v>19261566</v>
      </c>
      <c r="E12" s="177" t="s">
        <v>242</v>
      </c>
      <c r="F12" s="129">
        <f>+M3</f>
        <v>276288.23529411765</v>
      </c>
      <c r="G12" s="130">
        <f>+'CTA CORRIENTE'!H63+'CTA CORRIENTE'!H67+'CTA CORRIENTE'!H71+'CTA CORRIENTE'!H75</f>
        <v>276288</v>
      </c>
      <c r="H12" s="130">
        <f t="shared" si="1"/>
        <v>-0.2352941176504828</v>
      </c>
    </row>
    <row r="13" spans="1:13" x14ac:dyDescent="0.25">
      <c r="C13" s="133" t="s">
        <v>91</v>
      </c>
      <c r="D13" s="133"/>
      <c r="E13" s="133"/>
      <c r="F13" s="134">
        <f>+SUM(F10:F12)</f>
        <v>828863.86554621859</v>
      </c>
      <c r="G13" s="134">
        <f>+SUM(G10:G12)</f>
        <v>828864</v>
      </c>
      <c r="H13" s="134">
        <f>+SUM(H10:H12)</f>
        <v>0.1344537814729847</v>
      </c>
    </row>
    <row r="14" spans="1:13" x14ac:dyDescent="0.25">
      <c r="C14" s="133" t="s">
        <v>92</v>
      </c>
      <c r="D14" s="133"/>
      <c r="E14" s="133"/>
      <c r="F14" s="135"/>
      <c r="G14" s="134">
        <f>+F13-G13</f>
        <v>-0.13445378141477704</v>
      </c>
      <c r="H14" s="13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4393-26F0-481A-9585-4B8BC8A36D7C}">
  <dimension ref="A1:M15"/>
  <sheetViews>
    <sheetView workbookViewId="0">
      <selection activeCell="I2" sqref="I2:I4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227</v>
      </c>
      <c r="F2" s="120" t="s">
        <v>228</v>
      </c>
      <c r="G2" s="120" t="s">
        <v>224</v>
      </c>
      <c r="H2" s="120" t="s">
        <v>225</v>
      </c>
      <c r="I2" s="122">
        <v>9135641</v>
      </c>
      <c r="J2" s="120" t="s">
        <v>83</v>
      </c>
      <c r="K2" s="120" t="s">
        <v>84</v>
      </c>
      <c r="L2" s="120" t="s">
        <v>229</v>
      </c>
      <c r="M2" s="124">
        <f>+I2/1.19</f>
        <v>7677009.2436974794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230</v>
      </c>
      <c r="F3" s="120" t="s">
        <v>231</v>
      </c>
      <c r="G3" s="120" t="s">
        <v>224</v>
      </c>
      <c r="H3" s="120" t="s">
        <v>225</v>
      </c>
      <c r="I3" s="122">
        <v>4567821</v>
      </c>
      <c r="J3" s="120" t="s">
        <v>83</v>
      </c>
      <c r="K3" s="120" t="s">
        <v>84</v>
      </c>
      <c r="L3" s="120" t="s">
        <v>232</v>
      </c>
      <c r="M3" s="124">
        <f t="shared" ref="M3:M4" si="0">+I3/1.19</f>
        <v>3838505.042016807</v>
      </c>
    </row>
    <row r="4" spans="1:13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236</v>
      </c>
      <c r="F4" s="120" t="s">
        <v>237</v>
      </c>
      <c r="G4" s="120" t="s">
        <v>224</v>
      </c>
      <c r="H4" s="120" t="s">
        <v>225</v>
      </c>
      <c r="I4" s="122">
        <v>11419552</v>
      </c>
      <c r="J4" s="120" t="s">
        <v>83</v>
      </c>
      <c r="K4" s="120" t="s">
        <v>84</v>
      </c>
      <c r="L4" s="120" t="s">
        <v>238</v>
      </c>
      <c r="M4" s="124">
        <f t="shared" si="0"/>
        <v>9596262.1848739497</v>
      </c>
    </row>
    <row r="7" spans="1:13" x14ac:dyDescent="0.25">
      <c r="C7" s="93"/>
      <c r="D7" s="93"/>
      <c r="E7" s="93"/>
      <c r="F7" s="93"/>
      <c r="G7" s="93"/>
      <c r="H7" s="93"/>
    </row>
    <row r="8" spans="1:13" x14ac:dyDescent="0.25">
      <c r="C8" s="125" t="s">
        <v>239</v>
      </c>
      <c r="D8" s="93"/>
      <c r="E8" s="125"/>
      <c r="F8" s="93"/>
      <c r="G8" s="93"/>
      <c r="H8" s="93"/>
    </row>
    <row r="9" spans="1:13" x14ac:dyDescent="0.25">
      <c r="C9" s="125" t="s">
        <v>241</v>
      </c>
      <c r="D9" s="125"/>
      <c r="E9" s="93"/>
      <c r="F9" s="93"/>
      <c r="G9" s="93"/>
      <c r="H9" s="93"/>
    </row>
    <row r="10" spans="1:13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3" x14ac:dyDescent="0.25">
      <c r="C11" s="121">
        <v>0.1</v>
      </c>
      <c r="D11" s="127">
        <v>19259972</v>
      </c>
      <c r="E11" s="176" t="s">
        <v>240</v>
      </c>
      <c r="F11" s="129">
        <f>+M4</f>
        <v>9596262.1848739497</v>
      </c>
      <c r="G11" s="130">
        <f>+'CTA CORRIENTE'!H49+'CTA CORRIENTE'!H53+'CTA CORRIENTE'!H57+'CTA CORRIENTE'!H45</f>
        <v>9596262.1999999993</v>
      </c>
      <c r="H11" s="130">
        <f>+G11-F11</f>
        <v>1.5126049518585205E-2</v>
      </c>
    </row>
    <row r="12" spans="1:13" x14ac:dyDescent="0.25">
      <c r="C12" s="121">
        <v>0.08</v>
      </c>
      <c r="D12" s="127">
        <v>19262024</v>
      </c>
      <c r="E12" s="176" t="s">
        <v>240</v>
      </c>
      <c r="F12" s="129">
        <f>+M2</f>
        <v>7677009.2436974794</v>
      </c>
      <c r="G12" s="130">
        <f>+'CTA CORRIENTE'!H50+'CTA CORRIENTE'!H54+'CTA CORRIENTE'!H58+'CTA CORRIENTE'!H46</f>
        <v>7677009.7599999998</v>
      </c>
      <c r="H12" s="130">
        <f t="shared" ref="H12:H13" si="1">+G12-F12</f>
        <v>0.51630252040922642</v>
      </c>
    </row>
    <row r="13" spans="1:13" x14ac:dyDescent="0.25">
      <c r="C13" s="121">
        <v>0.04</v>
      </c>
      <c r="D13" s="131">
        <v>19261567</v>
      </c>
      <c r="E13" s="177" t="s">
        <v>240</v>
      </c>
      <c r="F13" s="129">
        <f>+M3</f>
        <v>3838505.042016807</v>
      </c>
      <c r="G13" s="130">
        <f>+'CTA CORRIENTE'!H51+'CTA CORRIENTE'!H55+'CTA CORRIENTE'!H59+'CTA CORRIENTE'!H47</f>
        <v>3838504.88</v>
      </c>
      <c r="H13" s="130">
        <f t="shared" si="1"/>
        <v>-0.16201680712401867</v>
      </c>
    </row>
    <row r="14" spans="1:13" x14ac:dyDescent="0.25">
      <c r="C14" s="133" t="s">
        <v>91</v>
      </c>
      <c r="D14" s="133"/>
      <c r="E14" s="133"/>
      <c r="F14" s="134">
        <f>+SUM(F11:F13)</f>
        <v>21111776.470588237</v>
      </c>
      <c r="G14" s="134">
        <f>+SUM(G11:G13)</f>
        <v>21111776.84</v>
      </c>
      <c r="H14" s="134">
        <f>+SUM(H11:H13)</f>
        <v>0.36941176280379295</v>
      </c>
    </row>
    <row r="15" spans="1:13" x14ac:dyDescent="0.25">
      <c r="C15" s="133" t="s">
        <v>92</v>
      </c>
      <c r="D15" s="133"/>
      <c r="E15" s="133"/>
      <c r="F15" s="135"/>
      <c r="G15" s="134">
        <f>+F14-G14</f>
        <v>-0.36941176280379295</v>
      </c>
      <c r="H15" s="1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0846-C5CE-4D45-A6E4-C2330E3889E2}">
  <dimension ref="A1:L15"/>
  <sheetViews>
    <sheetView workbookViewId="0">
      <selection activeCell="L1" sqref="L1:L4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2" x14ac:dyDescent="0.25">
      <c r="B1" s="119" t="s">
        <v>72</v>
      </c>
      <c r="C1" s="119" t="s">
        <v>73</v>
      </c>
      <c r="D1" s="119" t="s">
        <v>54</v>
      </c>
      <c r="E1" s="119" t="s">
        <v>74</v>
      </c>
      <c r="F1" s="119" t="s">
        <v>75</v>
      </c>
      <c r="G1" s="119" t="s">
        <v>6</v>
      </c>
      <c r="H1" s="119" t="s">
        <v>56</v>
      </c>
      <c r="I1" s="119" t="s">
        <v>76</v>
      </c>
      <c r="J1" s="119" t="s">
        <v>78</v>
      </c>
      <c r="K1" s="119" t="s">
        <v>79</v>
      </c>
      <c r="L1" s="47" t="s">
        <v>77</v>
      </c>
    </row>
    <row r="2" spans="1:12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199</v>
      </c>
      <c r="F2" s="120" t="s">
        <v>200</v>
      </c>
      <c r="G2" s="120" t="s">
        <v>201</v>
      </c>
      <c r="H2" s="120" t="s">
        <v>202</v>
      </c>
      <c r="I2" s="175">
        <v>4014250</v>
      </c>
      <c r="J2" s="120" t="s">
        <v>83</v>
      </c>
      <c r="K2" s="120" t="s">
        <v>84</v>
      </c>
      <c r="L2" s="124">
        <f t="shared" ref="L2:L4" si="0">+I2/1.19</f>
        <v>3373319.3277310925</v>
      </c>
    </row>
    <row r="3" spans="1:12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205</v>
      </c>
      <c r="F3" s="120" t="s">
        <v>206</v>
      </c>
      <c r="G3" s="120" t="s">
        <v>201</v>
      </c>
      <c r="H3" s="120" t="s">
        <v>202</v>
      </c>
      <c r="I3" s="175">
        <v>2007124</v>
      </c>
      <c r="J3" s="120" t="s">
        <v>83</v>
      </c>
      <c r="K3" s="120" t="s">
        <v>84</v>
      </c>
      <c r="L3" s="124">
        <f t="shared" si="0"/>
        <v>1686658.8235294118</v>
      </c>
    </row>
    <row r="4" spans="1:12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203</v>
      </c>
      <c r="F4" s="120" t="s">
        <v>204</v>
      </c>
      <c r="G4" s="120" t="s">
        <v>201</v>
      </c>
      <c r="H4" s="120" t="s">
        <v>202</v>
      </c>
      <c r="I4" s="175">
        <v>5017811</v>
      </c>
      <c r="J4" s="120" t="s">
        <v>83</v>
      </c>
      <c r="K4" s="120" t="s">
        <v>84</v>
      </c>
      <c r="L4" s="124">
        <f t="shared" si="0"/>
        <v>4216647.8991596643</v>
      </c>
    </row>
    <row r="5" spans="1:12" x14ac:dyDescent="0.25">
      <c r="I5" s="123"/>
    </row>
    <row r="7" spans="1:12" x14ac:dyDescent="0.25">
      <c r="C7" s="93"/>
      <c r="D7" s="93"/>
      <c r="E7" s="93"/>
      <c r="F7" s="93"/>
      <c r="G7" s="93"/>
      <c r="H7" s="93"/>
    </row>
    <row r="8" spans="1:12" x14ac:dyDescent="0.25">
      <c r="C8" s="125" t="s">
        <v>186</v>
      </c>
      <c r="D8" s="93"/>
      <c r="E8" s="125"/>
      <c r="F8" s="93"/>
      <c r="G8" s="93"/>
      <c r="H8" s="93"/>
    </row>
    <row r="9" spans="1:12" x14ac:dyDescent="0.25">
      <c r="C9" s="125" t="s">
        <v>207</v>
      </c>
      <c r="D9" s="125"/>
      <c r="E9" s="93"/>
      <c r="F9" s="93"/>
      <c r="G9" s="93"/>
      <c r="H9" s="93"/>
    </row>
    <row r="10" spans="1:12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2" x14ac:dyDescent="0.25">
      <c r="C11" s="121">
        <v>0.1</v>
      </c>
      <c r="D11" s="127">
        <v>19257145</v>
      </c>
      <c r="E11" s="176" t="s">
        <v>208</v>
      </c>
      <c r="F11" s="129">
        <f>+L4</f>
        <v>4216647.8991596643</v>
      </c>
      <c r="G11" s="130">
        <f>+'CTA CORRIENTE'!H37+'CTA CORRIENTE'!H41</f>
        <v>4216648</v>
      </c>
      <c r="H11" s="130">
        <f>+G11-F11</f>
        <v>0.10084033571183681</v>
      </c>
    </row>
    <row r="12" spans="1:12" x14ac:dyDescent="0.25">
      <c r="C12" s="121">
        <v>0.08</v>
      </c>
      <c r="D12" s="127">
        <v>19258349</v>
      </c>
      <c r="E12" s="176" t="s">
        <v>208</v>
      </c>
      <c r="F12" s="129">
        <f>+L2</f>
        <v>3373319.3277310925</v>
      </c>
      <c r="G12" s="130">
        <f>+'CTA CORRIENTE'!H38+'CTA CORRIENTE'!H42</f>
        <v>3373318.4</v>
      </c>
      <c r="H12" s="130">
        <f t="shared" ref="H12:H13" si="1">+G12-F12</f>
        <v>-0.92773109255358577</v>
      </c>
    </row>
    <row r="13" spans="1:12" x14ac:dyDescent="0.25">
      <c r="C13" s="121">
        <v>0.04</v>
      </c>
      <c r="D13" s="131">
        <v>19257865</v>
      </c>
      <c r="E13" s="177" t="s">
        <v>208</v>
      </c>
      <c r="F13" s="129">
        <f>+L3</f>
        <v>1686658.8235294118</v>
      </c>
      <c r="G13" s="130">
        <f>+'CTA CORRIENTE'!H39+'CTA CORRIENTE'!H43</f>
        <v>1686659.2</v>
      </c>
      <c r="H13" s="130">
        <f t="shared" si="1"/>
        <v>0.37647058814764023</v>
      </c>
    </row>
    <row r="14" spans="1:12" x14ac:dyDescent="0.25">
      <c r="C14" s="133" t="s">
        <v>91</v>
      </c>
      <c r="D14" s="133"/>
      <c r="E14" s="133"/>
      <c r="F14" s="134">
        <f>+SUM(F11:F13)</f>
        <v>9276626.0504201688</v>
      </c>
      <c r="G14" s="134">
        <f>+SUM(G11:G13)</f>
        <v>9276625.5999999996</v>
      </c>
      <c r="H14" s="134">
        <f>+SUM(H11:H13)</f>
        <v>-0.45042016869410872</v>
      </c>
    </row>
    <row r="15" spans="1:12" x14ac:dyDescent="0.25">
      <c r="C15" s="133" t="s">
        <v>92</v>
      </c>
      <c r="D15" s="133"/>
      <c r="E15" s="133"/>
      <c r="F15" s="135"/>
      <c r="G15" s="134">
        <f>+F14-G14</f>
        <v>0.45042016915977001</v>
      </c>
      <c r="H15" s="1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F775-3990-4F18-9448-46B751695AEC}">
  <dimension ref="A1:L15"/>
  <sheetViews>
    <sheetView workbookViewId="0">
      <selection activeCell="C9" sqref="C9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2" x14ac:dyDescent="0.25">
      <c r="B1" s="119" t="s">
        <v>72</v>
      </c>
      <c r="C1" s="119" t="s">
        <v>73</v>
      </c>
      <c r="D1" s="119" t="s">
        <v>54</v>
      </c>
      <c r="E1" s="119" t="s">
        <v>74</v>
      </c>
      <c r="F1" s="119" t="s">
        <v>75</v>
      </c>
      <c r="G1" s="119" t="s">
        <v>6</v>
      </c>
      <c r="H1" s="119" t="s">
        <v>56</v>
      </c>
      <c r="I1" s="119" t="s">
        <v>76</v>
      </c>
      <c r="J1" s="119" t="s">
        <v>78</v>
      </c>
      <c r="K1" s="119" t="s">
        <v>79</v>
      </c>
      <c r="L1" s="47" t="s">
        <v>77</v>
      </c>
    </row>
    <row r="2" spans="1:12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173</v>
      </c>
      <c r="F2" s="120" t="s">
        <v>174</v>
      </c>
      <c r="G2" s="120" t="s">
        <v>175</v>
      </c>
      <c r="H2" s="120" t="s">
        <v>176</v>
      </c>
      <c r="I2" s="122">
        <v>6648129</v>
      </c>
      <c r="J2" s="120" t="s">
        <v>83</v>
      </c>
      <c r="K2" s="120" t="s">
        <v>84</v>
      </c>
      <c r="L2" s="124">
        <f t="shared" ref="L2:L4" si="0">+I2/1.19</f>
        <v>5586663.0252100844</v>
      </c>
    </row>
    <row r="3" spans="1:12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179</v>
      </c>
      <c r="F3" s="120" t="s">
        <v>180</v>
      </c>
      <c r="G3" s="120" t="s">
        <v>175</v>
      </c>
      <c r="H3" s="120" t="s">
        <v>176</v>
      </c>
      <c r="I3" s="122">
        <v>3324065</v>
      </c>
      <c r="J3" s="120" t="s">
        <v>83</v>
      </c>
      <c r="K3" s="120" t="s">
        <v>84</v>
      </c>
      <c r="L3" s="124">
        <f t="shared" si="0"/>
        <v>2793331.9327731095</v>
      </c>
    </row>
    <row r="4" spans="1:12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177</v>
      </c>
      <c r="F4" s="120" t="s">
        <v>178</v>
      </c>
      <c r="G4" s="120" t="s">
        <v>175</v>
      </c>
      <c r="H4" s="120" t="s">
        <v>176</v>
      </c>
      <c r="I4" s="122">
        <v>8310162</v>
      </c>
      <c r="J4" s="120" t="s">
        <v>83</v>
      </c>
      <c r="K4" s="120" t="s">
        <v>84</v>
      </c>
      <c r="L4" s="124">
        <f t="shared" si="0"/>
        <v>6983329.4117647065</v>
      </c>
    </row>
    <row r="5" spans="1:12" x14ac:dyDescent="0.25">
      <c r="I5" s="123"/>
    </row>
    <row r="7" spans="1:12" x14ac:dyDescent="0.25">
      <c r="C7" s="93"/>
      <c r="D7" s="93"/>
      <c r="E7" s="93"/>
      <c r="F7" s="93"/>
      <c r="G7" s="93"/>
      <c r="H7" s="93"/>
    </row>
    <row r="8" spans="1:12" x14ac:dyDescent="0.25">
      <c r="C8" s="125" t="s">
        <v>186</v>
      </c>
      <c r="D8" s="93"/>
      <c r="E8" s="125"/>
      <c r="F8" s="93"/>
      <c r="G8" s="93"/>
      <c r="H8" s="93"/>
    </row>
    <row r="9" spans="1:12" x14ac:dyDescent="0.25">
      <c r="C9" s="125" t="s">
        <v>181</v>
      </c>
      <c r="D9" s="125"/>
      <c r="E9" s="93"/>
      <c r="F9" s="93"/>
      <c r="G9" s="93"/>
      <c r="H9" s="93"/>
    </row>
    <row r="10" spans="1:12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2" x14ac:dyDescent="0.25">
      <c r="C11" s="121">
        <v>0.1</v>
      </c>
      <c r="D11" s="127" t="s">
        <v>183</v>
      </c>
      <c r="E11" s="128"/>
      <c r="F11" s="129">
        <f>+L4</f>
        <v>6983329.4117647065</v>
      </c>
      <c r="G11" s="130">
        <f>+'CTA CORRIENTE'!H24+'CTA CORRIENTE'!H29+'CTA CORRIENTE'!H33</f>
        <v>6983329.0403361339</v>
      </c>
      <c r="H11" s="130">
        <f>+G11-F11</f>
        <v>-0.37142857257276773</v>
      </c>
    </row>
    <row r="12" spans="1:12" x14ac:dyDescent="0.25">
      <c r="C12" s="121">
        <v>0.08</v>
      </c>
      <c r="D12" s="127" t="s">
        <v>184</v>
      </c>
      <c r="E12" s="128"/>
      <c r="F12" s="129">
        <f>+L2</f>
        <v>5586663.0252100844</v>
      </c>
      <c r="G12" s="130">
        <f>+'CTA CORRIENTE'!H25+'CTA CORRIENTE'!H30+'CTA CORRIENTE'!H34</f>
        <v>5586663.2322689071</v>
      </c>
      <c r="H12" s="130">
        <f t="shared" ref="H12:H13" si="1">+G12-F12</f>
        <v>0.20705882273614407</v>
      </c>
    </row>
    <row r="13" spans="1:12" x14ac:dyDescent="0.25">
      <c r="C13" s="121">
        <v>0.04</v>
      </c>
      <c r="D13" s="131" t="s">
        <v>185</v>
      </c>
      <c r="E13" s="132"/>
      <c r="F13" s="129">
        <f>+L3</f>
        <v>2793331.9327731095</v>
      </c>
      <c r="G13" s="130">
        <f>+'CTA CORRIENTE'!H26+'CTA CORRIENTE'!H31+'CTA CORRIENTE'!H35</f>
        <v>2793331.6161344536</v>
      </c>
      <c r="H13" s="130">
        <f t="shared" si="1"/>
        <v>-0.31663865596055984</v>
      </c>
    </row>
    <row r="14" spans="1:12" x14ac:dyDescent="0.25">
      <c r="C14" s="133" t="s">
        <v>91</v>
      </c>
      <c r="D14" s="133"/>
      <c r="E14" s="133"/>
      <c r="F14" s="134">
        <f>+SUM(F11:F13)</f>
        <v>15363324.369747899</v>
      </c>
      <c r="G14" s="134">
        <f>+SUM(G11:G13)</f>
        <v>15363323.888739495</v>
      </c>
      <c r="H14" s="134">
        <f>+SUM(H11:H13)</f>
        <v>-0.48100840579718351</v>
      </c>
    </row>
    <row r="15" spans="1:12" x14ac:dyDescent="0.25">
      <c r="C15" s="133" t="s">
        <v>92</v>
      </c>
      <c r="D15" s="133"/>
      <c r="E15" s="133"/>
      <c r="F15" s="135"/>
      <c r="G15" s="134">
        <f>+F14-G14</f>
        <v>0.48100840486586094</v>
      </c>
      <c r="H15" s="1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6AC0-7B0B-4B3F-A4B5-A58C4E1FDC19}">
  <sheetPr>
    <tabColor theme="9" tint="-0.249977111117893"/>
  </sheetPr>
  <dimension ref="C2:AD31"/>
  <sheetViews>
    <sheetView topLeftCell="O1" zoomScale="85" zoomScaleNormal="85" workbookViewId="0">
      <selection activeCell="U22" sqref="U22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90438524</v>
      </c>
      <c r="I4" s="60"/>
      <c r="J4" s="59" t="s">
        <v>36</v>
      </c>
      <c r="K4" s="62">
        <v>69081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681101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210</v>
      </c>
      <c r="E6" s="64"/>
      <c r="F6" s="63"/>
      <c r="G6" s="63" t="s">
        <v>46</v>
      </c>
      <c r="H6" s="66">
        <v>89757423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894702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89688342</v>
      </c>
      <c r="O7" s="64"/>
      <c r="P7" s="63"/>
      <c r="Q7" s="64"/>
      <c r="R7" s="64"/>
      <c r="S7" s="64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56"/>
      <c r="U8" s="56"/>
      <c r="V8" s="56"/>
      <c r="W8" s="56"/>
      <c r="X8" s="56"/>
      <c r="Y8" s="56"/>
      <c r="Z8" s="95" t="s">
        <v>102</v>
      </c>
      <c r="AA8" s="94">
        <v>36281.78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210</v>
      </c>
      <c r="H10" s="76">
        <v>1230659864</v>
      </c>
      <c r="I10" s="247" t="s">
        <v>68</v>
      </c>
      <c r="J10" s="249"/>
      <c r="K10" s="78" t="s">
        <v>211</v>
      </c>
      <c r="L10" s="248" t="s">
        <v>197</v>
      </c>
      <c r="M10" s="249"/>
      <c r="N10" s="77" t="s">
        <v>212</v>
      </c>
      <c r="O10" s="76">
        <v>-5017811</v>
      </c>
      <c r="P10" s="76">
        <v>-5017811</v>
      </c>
      <c r="Q10" s="79" t="s">
        <v>213</v>
      </c>
      <c r="R10" s="76">
        <v>-28099.74</v>
      </c>
      <c r="S10" s="76">
        <v>-4989711</v>
      </c>
      <c r="T10" s="56"/>
      <c r="U10" s="82">
        <f t="shared" ref="U10:U15" si="0">+R10/P10</f>
        <v>5.5999996811358583E-3</v>
      </c>
      <c r="V10" s="87">
        <f t="shared" ref="V10:V18" si="1">+U10*P10</f>
        <v>-28099.74</v>
      </c>
      <c r="W10" s="84">
        <f t="shared" ref="W10:W18" si="2">+P10-V10</f>
        <v>-4989711.26</v>
      </c>
      <c r="X10" s="84"/>
      <c r="Y10" s="88">
        <f>+Q10%*(N10/30)*P10</f>
        <v>-28099.741600000001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210</v>
      </c>
      <c r="H11" s="76">
        <v>1230659864</v>
      </c>
      <c r="I11" s="247" t="s">
        <v>68</v>
      </c>
      <c r="J11" s="249"/>
      <c r="K11" s="78" t="s">
        <v>214</v>
      </c>
      <c r="L11" s="248" t="s">
        <v>197</v>
      </c>
      <c r="M11" s="249"/>
      <c r="N11" s="77" t="s">
        <v>212</v>
      </c>
      <c r="O11" s="76">
        <v>-2007124</v>
      </c>
      <c r="P11" s="76">
        <v>-2007124</v>
      </c>
      <c r="Q11" s="79" t="s">
        <v>213</v>
      </c>
      <c r="R11" s="76">
        <v>-11239.89</v>
      </c>
      <c r="S11" s="76">
        <v>-1995884</v>
      </c>
      <c r="T11" s="56"/>
      <c r="U11" s="82">
        <f t="shared" si="0"/>
        <v>5.5999978078085854E-3</v>
      </c>
      <c r="V11" s="87">
        <f t="shared" si="1"/>
        <v>-11239.89</v>
      </c>
      <c r="W11" s="84">
        <f t="shared" si="2"/>
        <v>-1995884.11</v>
      </c>
      <c r="X11" s="84"/>
      <c r="Y11" s="88">
        <f t="shared" ref="Y11:Y22" si="3">+Q11%*(N11/30)*P11</f>
        <v>-11239.894399999999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210</v>
      </c>
      <c r="H12" s="76">
        <v>1230659864</v>
      </c>
      <c r="I12" s="247" t="s">
        <v>68</v>
      </c>
      <c r="J12" s="249"/>
      <c r="K12" s="78" t="s">
        <v>215</v>
      </c>
      <c r="L12" s="248" t="s">
        <v>197</v>
      </c>
      <c r="M12" s="249"/>
      <c r="N12" s="77" t="s">
        <v>212</v>
      </c>
      <c r="O12" s="76">
        <v>-4014250</v>
      </c>
      <c r="P12" s="76">
        <v>-4014250</v>
      </c>
      <c r="Q12" s="79" t="s">
        <v>213</v>
      </c>
      <c r="R12" s="76">
        <v>-22479.8</v>
      </c>
      <c r="S12" s="76">
        <v>-3991770</v>
      </c>
      <c r="T12" s="56"/>
      <c r="U12" s="82">
        <f t="shared" si="0"/>
        <v>5.5999999999999999E-3</v>
      </c>
      <c r="V12" s="87">
        <f t="shared" si="1"/>
        <v>-22479.8</v>
      </c>
      <c r="W12" s="84">
        <f t="shared" si="2"/>
        <v>-3991770.2</v>
      </c>
      <c r="X12" s="83"/>
      <c r="Y12" s="88">
        <f t="shared" si="3"/>
        <v>-22479.8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210</v>
      </c>
      <c r="H13" s="76">
        <v>1230659864</v>
      </c>
      <c r="I13" s="247" t="s">
        <v>69</v>
      </c>
      <c r="J13" s="249"/>
      <c r="K13" s="78" t="s">
        <v>216</v>
      </c>
      <c r="L13" s="248" t="s">
        <v>197</v>
      </c>
      <c r="M13" s="249"/>
      <c r="N13" s="77" t="s">
        <v>212</v>
      </c>
      <c r="O13" s="76">
        <v>30193784</v>
      </c>
      <c r="P13" s="76">
        <v>30193784</v>
      </c>
      <c r="Q13" s="79" t="s">
        <v>213</v>
      </c>
      <c r="R13" s="76">
        <v>169085.19</v>
      </c>
      <c r="S13" s="76">
        <v>30024699</v>
      </c>
      <c r="T13" s="56"/>
      <c r="U13" s="82">
        <f t="shared" si="0"/>
        <v>5.5999999867522403E-3</v>
      </c>
      <c r="V13" s="87">
        <f t="shared" si="1"/>
        <v>169085.19</v>
      </c>
      <c r="W13" s="84">
        <f t="shared" si="2"/>
        <v>30024698.809999999</v>
      </c>
      <c r="X13" s="83"/>
      <c r="Y13" s="88">
        <f t="shared" si="3"/>
        <v>169085.19039999999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210</v>
      </c>
      <c r="H14" s="76">
        <v>1230659865</v>
      </c>
      <c r="I14" s="247" t="s">
        <v>69</v>
      </c>
      <c r="J14" s="249"/>
      <c r="K14" s="78" t="s">
        <v>217</v>
      </c>
      <c r="L14" s="248" t="s">
        <v>218</v>
      </c>
      <c r="M14" s="249"/>
      <c r="N14" s="77" t="s">
        <v>198</v>
      </c>
      <c r="O14" s="76">
        <v>46744652</v>
      </c>
      <c r="P14" s="76">
        <v>46744652</v>
      </c>
      <c r="Q14" s="79" t="s">
        <v>213</v>
      </c>
      <c r="R14" s="76">
        <v>376294.45</v>
      </c>
      <c r="S14" s="76">
        <v>46368358</v>
      </c>
      <c r="T14" s="56"/>
      <c r="U14" s="82">
        <f t="shared" si="0"/>
        <v>8.0500000299499504E-3</v>
      </c>
      <c r="V14" s="87">
        <f t="shared" si="1"/>
        <v>376294.45</v>
      </c>
      <c r="W14" s="84">
        <f t="shared" si="2"/>
        <v>46368357.549999997</v>
      </c>
      <c r="X14" s="83"/>
      <c r="Y14" s="88">
        <f t="shared" si="3"/>
        <v>376294.44860000006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210</v>
      </c>
      <c r="H15" s="76">
        <v>1230659865</v>
      </c>
      <c r="I15" s="247" t="s">
        <v>69</v>
      </c>
      <c r="J15" s="249"/>
      <c r="K15" s="78" t="s">
        <v>219</v>
      </c>
      <c r="L15" s="248" t="s">
        <v>218</v>
      </c>
      <c r="M15" s="249"/>
      <c r="N15" s="77" t="s">
        <v>198</v>
      </c>
      <c r="O15" s="76">
        <v>24539273</v>
      </c>
      <c r="P15" s="76">
        <v>24539273</v>
      </c>
      <c r="Q15" s="79" t="s">
        <v>213</v>
      </c>
      <c r="R15" s="76">
        <v>197541.15</v>
      </c>
      <c r="S15" s="76">
        <v>24341732</v>
      </c>
      <c r="T15" s="56"/>
      <c r="U15" s="82">
        <f t="shared" si="0"/>
        <v>8.0500000957648577E-3</v>
      </c>
      <c r="V15" s="87">
        <f t="shared" ref="V15" si="4">+U15*P15</f>
        <v>197541.15</v>
      </c>
      <c r="W15" s="84">
        <f t="shared" si="2"/>
        <v>24341731.850000001</v>
      </c>
      <c r="X15" s="83"/>
      <c r="Y15" s="88">
        <f t="shared" si="3"/>
        <v>197541.14765000003</v>
      </c>
      <c r="Z15" s="83"/>
      <c r="AA15" s="56"/>
    </row>
    <row r="16" spans="3:27" s="49" customFormat="1" ht="12.75" x14ac:dyDescent="0.2">
      <c r="C16" s="262"/>
      <c r="D16" s="263"/>
      <c r="E16" s="264"/>
      <c r="F16" s="265"/>
      <c r="G16" s="51"/>
      <c r="H16" s="52"/>
      <c r="I16" s="266"/>
      <c r="J16" s="267"/>
      <c r="K16" s="54"/>
      <c r="L16" s="268"/>
      <c r="M16" s="269"/>
      <c r="N16" s="53"/>
      <c r="O16" s="52"/>
      <c r="P16" s="52"/>
      <c r="Q16" s="55"/>
      <c r="R16" s="172"/>
      <c r="S16" s="172"/>
      <c r="T16" s="56"/>
      <c r="U16" s="82"/>
      <c r="V16" s="87">
        <f t="shared" si="1"/>
        <v>0</v>
      </c>
      <c r="W16" s="84">
        <f t="shared" si="2"/>
        <v>0</v>
      </c>
      <c r="X16" s="83"/>
      <c r="Y16" s="88">
        <f t="shared" si="3"/>
        <v>0</v>
      </c>
      <c r="Z16" s="83"/>
      <c r="AA16" s="56"/>
    </row>
    <row r="17" spans="3:30" s="49" customFormat="1" ht="12.75" x14ac:dyDescent="0.2">
      <c r="C17" s="262"/>
      <c r="D17" s="263"/>
      <c r="E17" s="264"/>
      <c r="F17" s="265"/>
      <c r="G17" s="51"/>
      <c r="H17" s="52"/>
      <c r="I17" s="266"/>
      <c r="J17" s="267"/>
      <c r="K17" s="54"/>
      <c r="L17" s="268"/>
      <c r="M17" s="269"/>
      <c r="N17" s="53"/>
      <c r="O17" s="52"/>
      <c r="P17" s="52"/>
      <c r="Q17" s="55"/>
      <c r="R17" s="172"/>
      <c r="S17" s="172"/>
      <c r="T17" s="56"/>
      <c r="U17" s="82"/>
      <c r="V17" s="87">
        <f t="shared" si="1"/>
        <v>0</v>
      </c>
      <c r="W17" s="84">
        <f t="shared" si="2"/>
        <v>0</v>
      </c>
      <c r="X17" s="83"/>
      <c r="Y17" s="88">
        <f t="shared" si="3"/>
        <v>0</v>
      </c>
      <c r="Z17" s="83"/>
      <c r="AA17" s="56"/>
    </row>
    <row r="18" spans="3:30" s="49" customFormat="1" x14ac:dyDescent="0.25">
      <c r="C18" s="257"/>
      <c r="D18" s="258"/>
      <c r="E18" s="259"/>
      <c r="F18" s="258"/>
      <c r="G18" s="51"/>
      <c r="H18" s="52"/>
      <c r="I18" s="260"/>
      <c r="J18" s="258"/>
      <c r="K18" s="54"/>
      <c r="L18" s="261"/>
      <c r="M18" s="258"/>
      <c r="N18" s="53"/>
      <c r="O18" s="52"/>
      <c r="P18" s="52"/>
      <c r="Q18" s="55"/>
      <c r="R18" s="172"/>
      <c r="S18" s="172"/>
      <c r="T18" s="56"/>
      <c r="U18" s="82"/>
      <c r="V18" s="87">
        <f t="shared" si="1"/>
        <v>0</v>
      </c>
      <c r="W18" s="84">
        <f t="shared" si="2"/>
        <v>0</v>
      </c>
      <c r="X18" s="83"/>
      <c r="Y18" s="88">
        <f t="shared" si="3"/>
        <v>0</v>
      </c>
      <c r="Z18" s="83"/>
      <c r="AA18" s="56"/>
    </row>
    <row r="19" spans="3:30" s="49" customFormat="1" ht="12.75" x14ac:dyDescent="0.2"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170"/>
      <c r="S19" s="170"/>
      <c r="T19" s="56"/>
      <c r="U19" s="82"/>
      <c r="V19" s="83"/>
      <c r="W19" s="84"/>
      <c r="X19" s="83"/>
      <c r="Y19" s="88">
        <f t="shared" si="3"/>
        <v>0</v>
      </c>
      <c r="Z19" s="83"/>
      <c r="AA19" s="56"/>
    </row>
    <row r="20" spans="3:30" s="49" customFormat="1" ht="12.75" x14ac:dyDescent="0.2"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170"/>
      <c r="S20" s="170"/>
      <c r="T20" s="56"/>
      <c r="U20" s="82"/>
      <c r="V20" s="83"/>
      <c r="W20" s="84"/>
      <c r="X20" s="83"/>
      <c r="Y20" s="88">
        <f t="shared" si="3"/>
        <v>0</v>
      </c>
      <c r="Z20" s="83"/>
      <c r="AA20" s="56"/>
      <c r="AB20" s="56"/>
    </row>
    <row r="21" spans="3:30" s="49" customFormat="1" ht="12.75" x14ac:dyDescent="0.2">
      <c r="C21" s="243" t="s">
        <v>70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76">
        <v>90438524</v>
      </c>
      <c r="P21" s="76">
        <v>90438524</v>
      </c>
      <c r="Q21" s="80"/>
      <c r="R21" s="76">
        <v>681101</v>
      </c>
      <c r="S21" s="76">
        <v>89757423</v>
      </c>
      <c r="T21" s="56"/>
      <c r="U21" s="82"/>
      <c r="V21" s="83"/>
      <c r="W21" s="84"/>
      <c r="X21" s="83"/>
      <c r="Y21" s="88">
        <f t="shared" si="3"/>
        <v>0</v>
      </c>
      <c r="Z21" s="83"/>
      <c r="AA21" s="56"/>
      <c r="AB21" s="56"/>
    </row>
    <row r="22" spans="3:30" s="49" customFormat="1" ht="12.75" x14ac:dyDescent="0.2"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170"/>
      <c r="S22" s="170"/>
      <c r="T22" s="56"/>
      <c r="U22" s="82"/>
      <c r="V22" s="83"/>
      <c r="W22" s="84"/>
      <c r="X22" s="83"/>
      <c r="Y22" s="88">
        <f t="shared" si="3"/>
        <v>0</v>
      </c>
      <c r="Z22" s="83"/>
      <c r="AA22" s="56"/>
      <c r="AB22" s="56"/>
    </row>
    <row r="23" spans="3:30" s="49" customFormat="1" ht="12.75" x14ac:dyDescent="0.2"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0"/>
      <c r="S23" s="170"/>
      <c r="T23" s="56"/>
      <c r="U23" s="82"/>
      <c r="V23" s="83"/>
      <c r="W23" s="84"/>
      <c r="X23" s="56"/>
      <c r="Y23" s="88"/>
      <c r="Z23" s="56"/>
      <c r="AA23" s="56"/>
      <c r="AB23" s="56"/>
    </row>
    <row r="24" spans="3:30" s="49" customFormat="1" ht="12.75" x14ac:dyDescent="0.2">
      <c r="C24" s="244" t="s">
        <v>70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76">
        <f>+SUM(O10:O18)</f>
        <v>90438524</v>
      </c>
      <c r="P24" s="76">
        <f>+SUM(P10:P18)</f>
        <v>90438524</v>
      </c>
      <c r="Q24" s="80"/>
      <c r="R24" s="76">
        <f>+SUM(R10:R18)</f>
        <v>681101.36</v>
      </c>
      <c r="S24" s="76">
        <f>+SUM(S10:S18)</f>
        <v>89757424</v>
      </c>
      <c r="U24" s="82"/>
      <c r="V24" s="91">
        <f>SUM(V10:V19)</f>
        <v>681101.36</v>
      </c>
      <c r="W24" s="91">
        <f>SUM(W10:W20)</f>
        <v>89757422.639999986</v>
      </c>
      <c r="X24" s="56"/>
      <c r="Y24" s="91">
        <f>SUM(Y10:Y19)</f>
        <v>681101.35065000004</v>
      </c>
      <c r="Z24" s="91">
        <f>$AA$7*$AA$8*1.19</f>
        <v>69080.509119999988</v>
      </c>
      <c r="AA24" s="91">
        <f>+Y24+Z24</f>
        <v>750181.85976999998</v>
      </c>
      <c r="AB24" s="92">
        <f>+W24-Z24</f>
        <v>89688342.130879983</v>
      </c>
      <c r="AD24" s="56" t="s">
        <v>220</v>
      </c>
    </row>
    <row r="25" spans="3:30" s="49" customFormat="1" ht="12.75" x14ac:dyDescent="0.2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U25" s="82"/>
      <c r="V25" s="83"/>
      <c r="W25" s="84"/>
      <c r="X25" s="56"/>
      <c r="Y25" s="88"/>
      <c r="Z25" s="56"/>
      <c r="AA25" s="56"/>
      <c r="AB25" s="56"/>
    </row>
    <row r="26" spans="3:30" s="49" customFormat="1" ht="12.75" x14ac:dyDescent="0.2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U26" s="82"/>
      <c r="V26" s="83"/>
      <c r="W26" s="84"/>
      <c r="X26" s="56"/>
      <c r="Y26" s="88"/>
      <c r="Z26" s="56"/>
      <c r="AA26" s="56"/>
      <c r="AB26" s="96"/>
    </row>
    <row r="27" spans="3:30" s="49" customFormat="1" ht="11.25" x14ac:dyDescent="0.15">
      <c r="C27" s="81" t="s">
        <v>71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U27" s="82"/>
      <c r="V27" s="83"/>
      <c r="W27" s="84"/>
      <c r="X27" s="56"/>
      <c r="Y27" s="88"/>
      <c r="Z27" s="56"/>
      <c r="AA27" s="56"/>
      <c r="AB27" s="56"/>
    </row>
    <row r="31" spans="3:30" x14ac:dyDescent="0.25">
      <c r="C31" s="2" t="s">
        <v>188</v>
      </c>
    </row>
  </sheetData>
  <mergeCells count="43">
    <mergeCell ref="C21:N21"/>
    <mergeCell ref="C24:N24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C10:D10"/>
    <mergeCell ref="E10:F10"/>
    <mergeCell ref="I10:J10"/>
    <mergeCell ref="L10:M10"/>
    <mergeCell ref="F2:M2"/>
    <mergeCell ref="C9:D9"/>
    <mergeCell ref="E9:F9"/>
    <mergeCell ref="I9:J9"/>
    <mergeCell ref="L9:M9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87DD-1849-462C-B3AF-82AAAEFA81DE}">
  <sheetPr>
    <tabColor theme="9" tint="-0.249977111117893"/>
  </sheetPr>
  <dimension ref="C2:AD31"/>
  <sheetViews>
    <sheetView topLeftCell="L1" zoomScale="85" zoomScaleNormal="85" workbookViewId="0">
      <selection activeCell="I20" sqref="I20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42386995</v>
      </c>
      <c r="I4" s="60"/>
      <c r="J4" s="59" t="s">
        <v>36</v>
      </c>
      <c r="K4" s="62">
        <v>68972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49"/>
      <c r="V4" s="49"/>
      <c r="W4" s="49"/>
      <c r="X4" s="49"/>
      <c r="Y4" s="49"/>
      <c r="Z4" s="49"/>
      <c r="AA4" s="49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312803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49"/>
      <c r="V5" s="49"/>
      <c r="W5" s="49"/>
      <c r="X5" s="49"/>
      <c r="Y5" s="49"/>
      <c r="Z5" s="49"/>
      <c r="AA5" s="49"/>
    </row>
    <row r="6" spans="3:27" s="50" customFormat="1" ht="12.75" x14ac:dyDescent="0.2">
      <c r="C6" s="63" t="s">
        <v>45</v>
      </c>
      <c r="D6" s="69" t="s">
        <v>190</v>
      </c>
      <c r="E6" s="64"/>
      <c r="F6" s="63"/>
      <c r="G6" s="63" t="s">
        <v>46</v>
      </c>
      <c r="H6" s="66">
        <v>42074192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170"/>
      <c r="S6" s="170"/>
      <c r="T6" s="56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893147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42005221</v>
      </c>
      <c r="O7" s="64"/>
      <c r="P7" s="63"/>
      <c r="Q7" s="64"/>
      <c r="R7" s="170"/>
      <c r="S7" s="170"/>
      <c r="T7" s="56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170"/>
      <c r="S8" s="170"/>
      <c r="T8" s="56"/>
      <c r="U8" s="56"/>
      <c r="V8" s="56"/>
      <c r="W8" s="56"/>
      <c r="X8" s="56"/>
      <c r="Y8" s="56"/>
      <c r="Z8" s="95" t="s">
        <v>102</v>
      </c>
      <c r="AA8" s="94">
        <v>36224.68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171" t="s">
        <v>61</v>
      </c>
      <c r="S9" s="171" t="s">
        <v>62</v>
      </c>
      <c r="T9" s="56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190</v>
      </c>
      <c r="H10" s="76">
        <v>1230643456</v>
      </c>
      <c r="I10" s="247" t="s">
        <v>68</v>
      </c>
      <c r="J10" s="249"/>
      <c r="K10" s="78" t="s">
        <v>191</v>
      </c>
      <c r="L10" s="248" t="s">
        <v>170</v>
      </c>
      <c r="M10" s="249"/>
      <c r="N10" s="77" t="s">
        <v>192</v>
      </c>
      <c r="O10" s="76">
        <v>-8310162</v>
      </c>
      <c r="P10" s="76">
        <v>-8310162</v>
      </c>
      <c r="Q10" s="79" t="s">
        <v>164</v>
      </c>
      <c r="R10" s="172">
        <v>-55788.89</v>
      </c>
      <c r="S10" s="172">
        <v>-8254373</v>
      </c>
      <c r="T10" s="56"/>
      <c r="U10" s="82">
        <f t="shared" ref="U10:U14" si="0">+R10/P10</f>
        <v>6.7133336269497509E-3</v>
      </c>
      <c r="V10" s="87">
        <f t="shared" ref="V10:V18" si="1">+U10*P10</f>
        <v>-55788.89</v>
      </c>
      <c r="W10" s="84">
        <f t="shared" ref="W10:W18" si="2">+P10-V10</f>
        <v>-8254373.1100000003</v>
      </c>
      <c r="X10" s="84"/>
      <c r="Y10" s="88">
        <f>+Q10%*(N10/30)*P10</f>
        <v>-55788.887560000003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190</v>
      </c>
      <c r="H11" s="76">
        <v>1230643456</v>
      </c>
      <c r="I11" s="247" t="s">
        <v>68</v>
      </c>
      <c r="J11" s="249"/>
      <c r="K11" s="78" t="s">
        <v>193</v>
      </c>
      <c r="L11" s="248" t="s">
        <v>170</v>
      </c>
      <c r="M11" s="249"/>
      <c r="N11" s="77" t="s">
        <v>192</v>
      </c>
      <c r="O11" s="76">
        <v>-3324065</v>
      </c>
      <c r="P11" s="76">
        <v>-3324065</v>
      </c>
      <c r="Q11" s="79" t="s">
        <v>164</v>
      </c>
      <c r="R11" s="172">
        <v>-22315.56</v>
      </c>
      <c r="S11" s="172">
        <v>-3301749</v>
      </c>
      <c r="T11" s="56"/>
      <c r="U11" s="82">
        <f t="shared" si="0"/>
        <v>6.7133344263725289E-3</v>
      </c>
      <c r="V11" s="87">
        <f t="shared" si="1"/>
        <v>-22315.56</v>
      </c>
      <c r="W11" s="84">
        <f t="shared" si="2"/>
        <v>-3301749.44</v>
      </c>
      <c r="X11" s="84"/>
      <c r="Y11" s="88">
        <f t="shared" ref="Y11:Y22" si="3">+Q11%*(N11/30)*P11</f>
        <v>-22315.556366666668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190</v>
      </c>
      <c r="H12" s="76">
        <v>1230643456</v>
      </c>
      <c r="I12" s="247" t="s">
        <v>68</v>
      </c>
      <c r="J12" s="249"/>
      <c r="K12" s="78" t="s">
        <v>194</v>
      </c>
      <c r="L12" s="248" t="s">
        <v>170</v>
      </c>
      <c r="M12" s="249"/>
      <c r="N12" s="77" t="s">
        <v>192</v>
      </c>
      <c r="O12" s="76">
        <v>-6648129</v>
      </c>
      <c r="P12" s="76">
        <v>-6648129</v>
      </c>
      <c r="Q12" s="79" t="s">
        <v>164</v>
      </c>
      <c r="R12" s="172">
        <v>-44631.11</v>
      </c>
      <c r="S12" s="172">
        <v>-6603498</v>
      </c>
      <c r="T12" s="56"/>
      <c r="U12" s="82">
        <f t="shared" si="0"/>
        <v>6.7133339319980102E-3</v>
      </c>
      <c r="V12" s="87">
        <f t="shared" si="1"/>
        <v>-44631.11</v>
      </c>
      <c r="W12" s="84">
        <f t="shared" si="2"/>
        <v>-6603497.8899999997</v>
      </c>
      <c r="X12" s="83"/>
      <c r="Y12" s="88">
        <f t="shared" si="3"/>
        <v>-44631.106019999999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190</v>
      </c>
      <c r="H13" s="76">
        <v>1230643456</v>
      </c>
      <c r="I13" s="247" t="s">
        <v>69</v>
      </c>
      <c r="J13" s="249"/>
      <c r="K13" s="78" t="s">
        <v>195</v>
      </c>
      <c r="L13" s="248" t="s">
        <v>170</v>
      </c>
      <c r="M13" s="249"/>
      <c r="N13" s="77" t="s">
        <v>192</v>
      </c>
      <c r="O13" s="76">
        <v>40685024</v>
      </c>
      <c r="P13" s="76">
        <v>40685024</v>
      </c>
      <c r="Q13" s="79" t="s">
        <v>164</v>
      </c>
      <c r="R13" s="172">
        <v>273132.13</v>
      </c>
      <c r="S13" s="172">
        <v>40411892</v>
      </c>
      <c r="T13" s="56"/>
      <c r="U13" s="82">
        <f t="shared" si="0"/>
        <v>6.7133333877350057E-3</v>
      </c>
      <c r="V13" s="87">
        <f t="shared" si="1"/>
        <v>273132.13</v>
      </c>
      <c r="W13" s="84">
        <f t="shared" si="2"/>
        <v>40411891.869999997</v>
      </c>
      <c r="X13" s="83"/>
      <c r="Y13" s="88">
        <f t="shared" si="3"/>
        <v>273132.12778666668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190</v>
      </c>
      <c r="H14" s="76">
        <v>1230643457</v>
      </c>
      <c r="I14" s="247" t="s">
        <v>69</v>
      </c>
      <c r="J14" s="249"/>
      <c r="K14" s="78" t="s">
        <v>196</v>
      </c>
      <c r="L14" s="248" t="s">
        <v>197</v>
      </c>
      <c r="M14" s="249"/>
      <c r="N14" s="77" t="s">
        <v>198</v>
      </c>
      <c r="O14" s="76">
        <v>19984327</v>
      </c>
      <c r="P14" s="76">
        <v>19984327</v>
      </c>
      <c r="Q14" s="79" t="s">
        <v>164</v>
      </c>
      <c r="R14" s="172">
        <v>162405.96</v>
      </c>
      <c r="S14" s="172">
        <v>19821921</v>
      </c>
      <c r="T14" s="56"/>
      <c r="U14" s="82">
        <f t="shared" si="0"/>
        <v>8.1266664621730822E-3</v>
      </c>
      <c r="V14" s="87">
        <f t="shared" si="1"/>
        <v>162405.96</v>
      </c>
      <c r="W14" s="84">
        <f t="shared" si="2"/>
        <v>19821921.039999999</v>
      </c>
      <c r="X14" s="83"/>
      <c r="Y14" s="88">
        <f t="shared" si="3"/>
        <v>162405.96408666667</v>
      </c>
      <c r="Z14" s="83"/>
      <c r="AA14" s="56"/>
    </row>
    <row r="15" spans="3:27" s="49" customFormat="1" ht="12.75" x14ac:dyDescent="0.2">
      <c r="C15" s="262"/>
      <c r="D15" s="263"/>
      <c r="E15" s="264"/>
      <c r="F15" s="265"/>
      <c r="G15" s="51"/>
      <c r="H15" s="52"/>
      <c r="I15" s="266"/>
      <c r="J15" s="267"/>
      <c r="K15" s="54"/>
      <c r="L15" s="268"/>
      <c r="M15" s="269"/>
      <c r="N15" s="53"/>
      <c r="O15" s="52"/>
      <c r="P15" s="52"/>
      <c r="Q15" s="55"/>
      <c r="R15" s="172"/>
      <c r="S15" s="172"/>
      <c r="T15" s="56"/>
      <c r="U15" s="82"/>
      <c r="V15" s="87">
        <f t="shared" si="1"/>
        <v>0</v>
      </c>
      <c r="W15" s="84">
        <f t="shared" si="2"/>
        <v>0</v>
      </c>
      <c r="X15" s="83"/>
      <c r="Y15" s="88">
        <f t="shared" si="3"/>
        <v>0</v>
      </c>
      <c r="Z15" s="83"/>
      <c r="AA15" s="56"/>
    </row>
    <row r="16" spans="3:27" s="49" customFormat="1" ht="12.75" x14ac:dyDescent="0.2">
      <c r="C16" s="262"/>
      <c r="D16" s="263"/>
      <c r="E16" s="264"/>
      <c r="F16" s="265"/>
      <c r="G16" s="51"/>
      <c r="H16" s="52"/>
      <c r="I16" s="266"/>
      <c r="J16" s="267"/>
      <c r="K16" s="54"/>
      <c r="L16" s="268"/>
      <c r="M16" s="269"/>
      <c r="N16" s="53"/>
      <c r="O16" s="52"/>
      <c r="P16" s="52"/>
      <c r="Q16" s="55"/>
      <c r="R16" s="172"/>
      <c r="S16" s="172"/>
      <c r="T16" s="56"/>
      <c r="U16" s="82"/>
      <c r="V16" s="87">
        <f t="shared" si="1"/>
        <v>0</v>
      </c>
      <c r="W16" s="84">
        <f t="shared" si="2"/>
        <v>0</v>
      </c>
      <c r="X16" s="83"/>
      <c r="Y16" s="88">
        <f t="shared" si="3"/>
        <v>0</v>
      </c>
      <c r="Z16" s="83"/>
      <c r="AA16" s="56"/>
    </row>
    <row r="17" spans="3:30" s="49" customFormat="1" ht="12.75" x14ac:dyDescent="0.2">
      <c r="C17" s="262"/>
      <c r="D17" s="263"/>
      <c r="E17" s="264"/>
      <c r="F17" s="265"/>
      <c r="G17" s="51"/>
      <c r="H17" s="52"/>
      <c r="I17" s="266"/>
      <c r="J17" s="267"/>
      <c r="K17" s="54"/>
      <c r="L17" s="268"/>
      <c r="M17" s="269"/>
      <c r="N17" s="53"/>
      <c r="O17" s="52"/>
      <c r="P17" s="52"/>
      <c r="Q17" s="55"/>
      <c r="R17" s="172"/>
      <c r="S17" s="172"/>
      <c r="T17" s="56"/>
      <c r="U17" s="82"/>
      <c r="V17" s="87">
        <f t="shared" si="1"/>
        <v>0</v>
      </c>
      <c r="W17" s="84">
        <f t="shared" si="2"/>
        <v>0</v>
      </c>
      <c r="X17" s="83"/>
      <c r="Y17" s="88">
        <f t="shared" si="3"/>
        <v>0</v>
      </c>
      <c r="Z17" s="83"/>
      <c r="AA17" s="56"/>
    </row>
    <row r="18" spans="3:30" s="49" customFormat="1" x14ac:dyDescent="0.25">
      <c r="C18" s="257"/>
      <c r="D18" s="258"/>
      <c r="E18" s="259"/>
      <c r="F18" s="258"/>
      <c r="G18" s="51"/>
      <c r="H18" s="52"/>
      <c r="I18" s="260"/>
      <c r="J18" s="258"/>
      <c r="K18" s="54"/>
      <c r="L18" s="261"/>
      <c r="M18" s="258"/>
      <c r="N18" s="53"/>
      <c r="O18" s="52"/>
      <c r="P18" s="52"/>
      <c r="Q18" s="55"/>
      <c r="R18" s="172"/>
      <c r="S18" s="172"/>
      <c r="T18" s="56"/>
      <c r="U18" s="82"/>
      <c r="V18" s="87">
        <f t="shared" si="1"/>
        <v>0</v>
      </c>
      <c r="W18" s="84">
        <f t="shared" si="2"/>
        <v>0</v>
      </c>
      <c r="X18" s="83"/>
      <c r="Y18" s="88">
        <f t="shared" si="3"/>
        <v>0</v>
      </c>
      <c r="Z18" s="83"/>
      <c r="AA18" s="56"/>
    </row>
    <row r="19" spans="3:30" s="49" customFormat="1" ht="12.75" x14ac:dyDescent="0.2"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170"/>
      <c r="S19" s="170"/>
      <c r="T19" s="56"/>
      <c r="U19" s="82"/>
      <c r="V19" s="83"/>
      <c r="W19" s="84"/>
      <c r="X19" s="83"/>
      <c r="Y19" s="88">
        <f t="shared" si="3"/>
        <v>0</v>
      </c>
      <c r="Z19" s="83"/>
      <c r="AA19" s="56"/>
    </row>
    <row r="20" spans="3:30" s="49" customFormat="1" ht="12.75" x14ac:dyDescent="0.2"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170"/>
      <c r="S20" s="170"/>
      <c r="T20" s="56"/>
      <c r="U20" s="82"/>
      <c r="V20" s="83"/>
      <c r="W20" s="84"/>
      <c r="X20" s="83"/>
      <c r="Y20" s="88">
        <f t="shared" si="3"/>
        <v>0</v>
      </c>
      <c r="Z20" s="83"/>
      <c r="AA20" s="56"/>
      <c r="AB20" s="56"/>
    </row>
    <row r="21" spans="3:30" s="49" customFormat="1" ht="12.75" x14ac:dyDescent="0.2">
      <c r="C21" s="243" t="s">
        <v>70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76">
        <v>42386995</v>
      </c>
      <c r="P21" s="76">
        <v>42386995</v>
      </c>
      <c r="Q21" s="80"/>
      <c r="R21" s="172">
        <v>312803</v>
      </c>
      <c r="S21" s="172">
        <v>42074192</v>
      </c>
      <c r="T21" s="56"/>
      <c r="U21" s="82"/>
      <c r="V21" s="83"/>
      <c r="W21" s="84"/>
      <c r="X21" s="83"/>
      <c r="Y21" s="88">
        <f t="shared" si="3"/>
        <v>0</v>
      </c>
      <c r="Z21" s="83"/>
      <c r="AA21" s="56"/>
      <c r="AB21" s="56"/>
    </row>
    <row r="22" spans="3:30" s="49" customFormat="1" ht="12.75" x14ac:dyDescent="0.2"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170"/>
      <c r="S22" s="170"/>
      <c r="T22" s="56"/>
      <c r="U22" s="82"/>
      <c r="V22" s="83"/>
      <c r="W22" s="84"/>
      <c r="X22" s="83"/>
      <c r="Y22" s="88">
        <f t="shared" si="3"/>
        <v>0</v>
      </c>
      <c r="Z22" s="83"/>
      <c r="AA22" s="56"/>
      <c r="AB22" s="56"/>
    </row>
    <row r="23" spans="3:30" s="49" customFormat="1" ht="12.75" x14ac:dyDescent="0.2"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170"/>
      <c r="S23" s="170"/>
      <c r="T23" s="56"/>
      <c r="U23" s="82"/>
      <c r="V23" s="83"/>
      <c r="W23" s="84"/>
      <c r="X23" s="56"/>
      <c r="Y23" s="88"/>
      <c r="Z23" s="56"/>
      <c r="AA23" s="56"/>
      <c r="AB23" s="56"/>
    </row>
    <row r="24" spans="3:30" s="49" customFormat="1" ht="12.75" x14ac:dyDescent="0.2">
      <c r="C24" s="244" t="s">
        <v>70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76">
        <f>+SUM(O10:O18)</f>
        <v>42386995</v>
      </c>
      <c r="P24" s="76">
        <f>+SUM(P10:P18)</f>
        <v>42386995</v>
      </c>
      <c r="Q24" s="80"/>
      <c r="R24" s="76">
        <f>+SUM(R10:R18)</f>
        <v>312802.53000000003</v>
      </c>
      <c r="S24" s="76">
        <f>+SUM(S10:S18)</f>
        <v>42074193</v>
      </c>
      <c r="U24" s="82"/>
      <c r="V24" s="91">
        <f>SUM(V10:V19)</f>
        <v>312802.53000000003</v>
      </c>
      <c r="W24" s="91">
        <f>SUM(W10:W20)</f>
        <v>42074192.469999999</v>
      </c>
      <c r="X24" s="56"/>
      <c r="Y24" s="91">
        <f>SUM(Y10:Y19)</f>
        <v>312802.54192666669</v>
      </c>
      <c r="Z24" s="91">
        <f>$AA$7*$AA$8*1.19</f>
        <v>68971.790720000005</v>
      </c>
      <c r="AA24" s="91">
        <f>+Y24+Z24</f>
        <v>381774.33264666668</v>
      </c>
      <c r="AB24" s="92">
        <f>+W24-Z24</f>
        <v>42005220.679279998</v>
      </c>
      <c r="AD24" s="56" t="s">
        <v>189</v>
      </c>
    </row>
    <row r="25" spans="3:30" s="49" customFormat="1" ht="12.75" x14ac:dyDescent="0.2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U25" s="82"/>
      <c r="V25" s="83"/>
      <c r="W25" s="84"/>
      <c r="X25" s="56"/>
      <c r="Y25" s="88"/>
      <c r="Z25" s="56"/>
      <c r="AA25" s="56"/>
      <c r="AB25" s="56"/>
    </row>
    <row r="26" spans="3:30" s="49" customFormat="1" ht="12.75" x14ac:dyDescent="0.2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U26" s="82"/>
      <c r="V26" s="83"/>
      <c r="W26" s="84"/>
      <c r="X26" s="56"/>
      <c r="Y26" s="88"/>
      <c r="Z26" s="56"/>
      <c r="AA26" s="56"/>
      <c r="AB26" s="96"/>
    </row>
    <row r="27" spans="3:30" s="49" customFormat="1" ht="11.25" x14ac:dyDescent="0.15">
      <c r="C27" s="81" t="s">
        <v>71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U27" s="82"/>
      <c r="V27" s="83"/>
      <c r="W27" s="84"/>
      <c r="X27" s="56"/>
      <c r="Y27" s="88"/>
      <c r="Z27" s="56"/>
      <c r="AA27" s="56"/>
      <c r="AB27" s="56"/>
    </row>
    <row r="31" spans="3:30" x14ac:dyDescent="0.25">
      <c r="C31" s="2" t="s">
        <v>188</v>
      </c>
    </row>
  </sheetData>
  <mergeCells count="43">
    <mergeCell ref="C21:N21"/>
    <mergeCell ref="C24:N24"/>
    <mergeCell ref="C17:D17"/>
    <mergeCell ref="E17:F17"/>
    <mergeCell ref="I17:J17"/>
    <mergeCell ref="L17:M17"/>
    <mergeCell ref="C18:D18"/>
    <mergeCell ref="E18:F18"/>
    <mergeCell ref="I18:J18"/>
    <mergeCell ref="L18:M18"/>
    <mergeCell ref="C15:D15"/>
    <mergeCell ref="E15:F15"/>
    <mergeCell ref="I15:J15"/>
    <mergeCell ref="L15:M15"/>
    <mergeCell ref="C16:D16"/>
    <mergeCell ref="E16:F16"/>
    <mergeCell ref="I16:J16"/>
    <mergeCell ref="L16:M16"/>
    <mergeCell ref="C13:D13"/>
    <mergeCell ref="E13:F13"/>
    <mergeCell ref="I13:J13"/>
    <mergeCell ref="L13:M13"/>
    <mergeCell ref="C14:D14"/>
    <mergeCell ref="E14:F14"/>
    <mergeCell ref="I14:J14"/>
    <mergeCell ref="L14:M14"/>
    <mergeCell ref="C11:D11"/>
    <mergeCell ref="E11:F11"/>
    <mergeCell ref="I11:J11"/>
    <mergeCell ref="L11:M11"/>
    <mergeCell ref="C12:D12"/>
    <mergeCell ref="E12:F12"/>
    <mergeCell ref="I12:J12"/>
    <mergeCell ref="L12:M12"/>
    <mergeCell ref="C10:D10"/>
    <mergeCell ref="E10:F10"/>
    <mergeCell ref="I10:J10"/>
    <mergeCell ref="L10:M10"/>
    <mergeCell ref="F2:M2"/>
    <mergeCell ref="C9:D9"/>
    <mergeCell ref="E9:F9"/>
    <mergeCell ref="I9:J9"/>
    <mergeCell ref="L9:M9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0DDA-107E-4EAE-AC1A-C34281E960CF}">
  <sheetPr>
    <tabColor theme="9" tint="-0.249977111117893"/>
  </sheetPr>
  <dimension ref="C2:AD28"/>
  <sheetViews>
    <sheetView topLeftCell="K7" workbookViewId="0">
      <selection activeCell="R25" sqref="L25:R25"/>
    </sheetView>
  </sheetViews>
  <sheetFormatPr baseColWidth="10" defaultRowHeight="15" x14ac:dyDescent="0.25"/>
  <cols>
    <col min="1" max="2" width="1.7109375" customWidth="1"/>
    <col min="8" max="8" width="13.5703125" bestFit="1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15958203</v>
      </c>
      <c r="I4" s="60"/>
      <c r="J4" s="59" t="s">
        <v>36</v>
      </c>
      <c r="K4" s="62">
        <v>68915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56"/>
      <c r="V4" s="56"/>
      <c r="W4" s="56"/>
      <c r="X4" s="56"/>
      <c r="Y4" s="56"/>
      <c r="Z4" s="56"/>
      <c r="AA4" s="56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125219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56"/>
      <c r="V5" s="56"/>
      <c r="W5" s="56"/>
      <c r="X5" s="56"/>
      <c r="Y5" s="56"/>
      <c r="Z5" s="56"/>
      <c r="AA5" s="56"/>
    </row>
    <row r="6" spans="3:27" s="50" customFormat="1" ht="12.75" x14ac:dyDescent="0.2">
      <c r="C6" s="63" t="s">
        <v>45</v>
      </c>
      <c r="D6" s="69" t="s">
        <v>94</v>
      </c>
      <c r="E6" s="64"/>
      <c r="F6" s="63"/>
      <c r="G6" s="63" t="s">
        <v>46</v>
      </c>
      <c r="H6" s="66">
        <v>15832984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49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890382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15764069</v>
      </c>
      <c r="O7" s="64"/>
      <c r="P7" s="63"/>
      <c r="Q7" s="64"/>
      <c r="R7" s="64"/>
      <c r="S7" s="64"/>
      <c r="T7" s="49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49"/>
      <c r="U8" s="56"/>
      <c r="V8" s="56"/>
      <c r="W8" s="56"/>
      <c r="X8" s="56"/>
      <c r="Y8" s="56"/>
      <c r="Z8" s="95" t="s">
        <v>102</v>
      </c>
      <c r="AA8" s="94">
        <v>36195.11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49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94</v>
      </c>
      <c r="H10" s="76">
        <v>1230615207</v>
      </c>
      <c r="I10" s="247" t="s">
        <v>68</v>
      </c>
      <c r="J10" s="249"/>
      <c r="K10" s="78" t="s">
        <v>95</v>
      </c>
      <c r="L10" s="248" t="s">
        <v>96</v>
      </c>
      <c r="M10" s="249"/>
      <c r="N10" s="77" t="s">
        <v>97</v>
      </c>
      <c r="O10" s="76">
        <v>-9876</v>
      </c>
      <c r="P10" s="76">
        <v>-9876</v>
      </c>
      <c r="Q10" s="79" t="s">
        <v>98</v>
      </c>
      <c r="R10" s="76">
        <v>-77.489999999999995</v>
      </c>
      <c r="S10" s="76">
        <v>-9799</v>
      </c>
      <c r="T10" s="49"/>
      <c r="U10" s="82">
        <f t="shared" ref="U10:U13" si="0">+R10/P10</f>
        <v>7.8462940461725382E-3</v>
      </c>
      <c r="V10" s="87">
        <f t="shared" ref="V10:V13" si="1">+U10*P10</f>
        <v>-77.489999999999981</v>
      </c>
      <c r="W10" s="84">
        <f t="shared" ref="W10:W13" si="2">+P10-V10</f>
        <v>-9798.51</v>
      </c>
      <c r="X10" s="84"/>
      <c r="Y10" s="88">
        <f>+Q10%*(N10/30)*P10</f>
        <v>-77.493679999999998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94</v>
      </c>
      <c r="H11" s="76">
        <v>1230615207</v>
      </c>
      <c r="I11" s="247" t="s">
        <v>68</v>
      </c>
      <c r="J11" s="249"/>
      <c r="K11" s="78" t="s">
        <v>99</v>
      </c>
      <c r="L11" s="248" t="s">
        <v>96</v>
      </c>
      <c r="M11" s="249"/>
      <c r="N11" s="77" t="s">
        <v>97</v>
      </c>
      <c r="O11" s="76">
        <v>-148512</v>
      </c>
      <c r="P11" s="76">
        <v>-148512</v>
      </c>
      <c r="Q11" s="79" t="s">
        <v>98</v>
      </c>
      <c r="R11" s="76">
        <v>-1165.32</v>
      </c>
      <c r="S11" s="76">
        <v>-147347</v>
      </c>
      <c r="T11" s="49"/>
      <c r="U11" s="82">
        <f t="shared" si="0"/>
        <v>7.8466386554621841E-3</v>
      </c>
      <c r="V11" s="87">
        <f t="shared" si="1"/>
        <v>-1165.32</v>
      </c>
      <c r="W11" s="84">
        <f t="shared" si="2"/>
        <v>-147346.68</v>
      </c>
      <c r="X11" s="84"/>
      <c r="Y11" s="88">
        <f t="shared" ref="Y11:Y19" si="3">+Q11%*(N11/30)*P11</f>
        <v>-1165.3241600000001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94</v>
      </c>
      <c r="H12" s="76">
        <v>1230615207</v>
      </c>
      <c r="I12" s="247" t="s">
        <v>69</v>
      </c>
      <c r="J12" s="249"/>
      <c r="K12" s="78" t="s">
        <v>100</v>
      </c>
      <c r="L12" s="248" t="s">
        <v>96</v>
      </c>
      <c r="M12" s="249"/>
      <c r="N12" s="77" t="s">
        <v>97</v>
      </c>
      <c r="O12" s="76">
        <v>11966447</v>
      </c>
      <c r="P12" s="76">
        <v>11966447</v>
      </c>
      <c r="Q12" s="79" t="s">
        <v>98</v>
      </c>
      <c r="R12" s="76">
        <v>93896.72</v>
      </c>
      <c r="S12" s="76">
        <v>11872550</v>
      </c>
      <c r="U12" s="82">
        <f t="shared" si="0"/>
        <v>7.8466666003701845E-3</v>
      </c>
      <c r="V12" s="87">
        <f t="shared" si="1"/>
        <v>93896.719999999987</v>
      </c>
      <c r="W12" s="84">
        <f t="shared" si="2"/>
        <v>11872550.279999999</v>
      </c>
      <c r="X12" s="83"/>
      <c r="Y12" s="88">
        <f t="shared" si="3"/>
        <v>93896.720793333341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94</v>
      </c>
      <c r="H13" s="76">
        <v>1230615207</v>
      </c>
      <c r="I13" s="247" t="s">
        <v>69</v>
      </c>
      <c r="J13" s="249"/>
      <c r="K13" s="78" t="s">
        <v>101</v>
      </c>
      <c r="L13" s="248" t="s">
        <v>96</v>
      </c>
      <c r="M13" s="249"/>
      <c r="N13" s="77" t="s">
        <v>97</v>
      </c>
      <c r="O13" s="76">
        <v>4150144</v>
      </c>
      <c r="P13" s="76">
        <v>4150144</v>
      </c>
      <c r="Q13" s="79" t="s">
        <v>98</v>
      </c>
      <c r="R13" s="76">
        <v>32564.799999999999</v>
      </c>
      <c r="S13" s="76">
        <v>4117579</v>
      </c>
      <c r="U13" s="82">
        <f t="shared" si="0"/>
        <v>7.8466674891280886E-3</v>
      </c>
      <c r="V13" s="87">
        <f t="shared" si="1"/>
        <v>32564.800000000003</v>
      </c>
      <c r="W13" s="84">
        <f t="shared" si="2"/>
        <v>4117579.2</v>
      </c>
      <c r="X13" s="83"/>
      <c r="Y13" s="88">
        <f t="shared" si="3"/>
        <v>32564.796586666667</v>
      </c>
      <c r="Z13" s="83"/>
      <c r="AA13" s="56"/>
    </row>
    <row r="14" spans="3:27" s="49" customFormat="1" x14ac:dyDescent="0.25">
      <c r="C14" s="257"/>
      <c r="D14" s="258"/>
      <c r="E14" s="259"/>
      <c r="F14" s="258"/>
      <c r="G14" s="51"/>
      <c r="H14" s="52"/>
      <c r="I14" s="260"/>
      <c r="J14" s="258"/>
      <c r="K14" s="54"/>
      <c r="L14" s="261"/>
      <c r="M14" s="258"/>
      <c r="N14" s="53"/>
      <c r="O14" s="52"/>
      <c r="P14" s="52"/>
      <c r="Q14" s="55"/>
      <c r="R14" s="52"/>
      <c r="S14" s="52"/>
      <c r="U14" s="82"/>
      <c r="V14" s="83"/>
      <c r="W14" s="84"/>
      <c r="X14" s="83"/>
      <c r="Y14" s="88">
        <f t="shared" si="3"/>
        <v>0</v>
      </c>
      <c r="Z14" s="83"/>
      <c r="AA14" s="56"/>
    </row>
    <row r="15" spans="3:27" s="49" customFormat="1" x14ac:dyDescent="0.25">
      <c r="C15" s="257"/>
      <c r="D15" s="258"/>
      <c r="E15" s="259"/>
      <c r="F15" s="258"/>
      <c r="G15" s="51"/>
      <c r="H15" s="52"/>
      <c r="I15" s="260"/>
      <c r="J15" s="258"/>
      <c r="K15" s="54"/>
      <c r="L15" s="261"/>
      <c r="M15" s="258"/>
      <c r="N15" s="53"/>
      <c r="O15" s="52"/>
      <c r="P15" s="52"/>
      <c r="Q15" s="55"/>
      <c r="R15" s="52"/>
      <c r="S15" s="52"/>
      <c r="U15" s="82"/>
      <c r="V15" s="83"/>
      <c r="W15" s="84"/>
      <c r="X15" s="83"/>
      <c r="Y15" s="88">
        <f t="shared" si="3"/>
        <v>0</v>
      </c>
      <c r="Z15" s="83"/>
      <c r="AA15" s="56"/>
    </row>
    <row r="16" spans="3:27" s="49" customFormat="1" ht="12.75" x14ac:dyDescent="0.2">
      <c r="C16" s="257"/>
      <c r="D16" s="270"/>
      <c r="E16" s="259"/>
      <c r="F16" s="270"/>
      <c r="G16" s="51"/>
      <c r="H16" s="52"/>
      <c r="I16" s="260"/>
      <c r="J16" s="270"/>
      <c r="K16" s="54"/>
      <c r="L16" s="261"/>
      <c r="M16" s="270"/>
      <c r="N16" s="53"/>
      <c r="O16" s="52"/>
      <c r="P16" s="52"/>
      <c r="Q16" s="55"/>
      <c r="R16" s="52"/>
      <c r="S16" s="52"/>
      <c r="U16" s="82"/>
      <c r="V16" s="83"/>
      <c r="W16" s="84"/>
      <c r="X16" s="83"/>
      <c r="Y16" s="88">
        <f t="shared" si="3"/>
        <v>0</v>
      </c>
      <c r="Z16" s="83"/>
      <c r="AA16" s="56"/>
    </row>
    <row r="17" spans="3:30" s="49" customFormat="1" x14ac:dyDescent="0.25">
      <c r="C17" s="257"/>
      <c r="D17" s="258"/>
      <c r="E17" s="259"/>
      <c r="F17" s="258"/>
      <c r="G17" s="51"/>
      <c r="H17" s="52"/>
      <c r="I17" s="260"/>
      <c r="J17" s="258"/>
      <c r="K17" s="54"/>
      <c r="L17" s="261"/>
      <c r="M17" s="258"/>
      <c r="N17" s="53"/>
      <c r="O17" s="52"/>
      <c r="P17" s="52"/>
      <c r="Q17" s="55"/>
      <c r="R17" s="52"/>
      <c r="S17" s="52"/>
      <c r="U17" s="82"/>
      <c r="V17" s="83"/>
      <c r="W17" s="84"/>
      <c r="X17" s="83"/>
      <c r="Y17" s="88">
        <f t="shared" si="3"/>
        <v>0</v>
      </c>
      <c r="Z17" s="83"/>
      <c r="AA17" s="56"/>
      <c r="AB17" s="56"/>
    </row>
    <row r="18" spans="3:30" s="49" customFormat="1" x14ac:dyDescent="0.25">
      <c r="C18" s="257"/>
      <c r="D18" s="258"/>
      <c r="E18" s="259"/>
      <c r="F18" s="258"/>
      <c r="G18" s="51"/>
      <c r="H18" s="52"/>
      <c r="I18" s="260"/>
      <c r="J18" s="258"/>
      <c r="K18" s="54"/>
      <c r="L18" s="261"/>
      <c r="M18" s="258"/>
      <c r="N18" s="53"/>
      <c r="O18" s="52"/>
      <c r="P18" s="52"/>
      <c r="Q18" s="55"/>
      <c r="R18" s="52"/>
      <c r="S18" s="52"/>
      <c r="U18" s="82"/>
      <c r="V18" s="83"/>
      <c r="W18" s="84"/>
      <c r="X18" s="83"/>
      <c r="Y18" s="88">
        <f t="shared" si="3"/>
        <v>0</v>
      </c>
      <c r="Z18" s="83"/>
      <c r="AA18" s="56"/>
      <c r="AB18" s="56"/>
    </row>
    <row r="19" spans="3:30" s="49" customFormat="1" ht="12.75" x14ac:dyDescent="0.2"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U19" s="82"/>
      <c r="V19" s="83"/>
      <c r="W19" s="84"/>
      <c r="X19" s="83"/>
      <c r="Y19" s="88">
        <f t="shared" si="3"/>
        <v>0</v>
      </c>
      <c r="Z19" s="83"/>
      <c r="AA19" s="56"/>
      <c r="AB19" s="56"/>
    </row>
    <row r="20" spans="3:30" s="49" customFormat="1" ht="12.75" x14ac:dyDescent="0.2"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U20" s="82"/>
      <c r="V20" s="83"/>
      <c r="W20" s="84"/>
      <c r="X20" s="56"/>
      <c r="Y20" s="88"/>
      <c r="Z20" s="56"/>
      <c r="AA20" s="56"/>
      <c r="AB20" s="56"/>
    </row>
    <row r="21" spans="3:30" s="49" customFormat="1" ht="12.75" x14ac:dyDescent="0.2">
      <c r="C21" s="244" t="s">
        <v>70</v>
      </c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76">
        <f>+SUM(O10:O13)</f>
        <v>15958203</v>
      </c>
      <c r="P21" s="76">
        <f>+SUM(P10:P13)</f>
        <v>15958203</v>
      </c>
      <c r="Q21" s="80"/>
      <c r="R21" s="76">
        <f>+SUM(R10:R13)</f>
        <v>125218.71</v>
      </c>
      <c r="S21" s="76">
        <f>+SUM(S10:S13)</f>
        <v>15832983</v>
      </c>
      <c r="U21" s="82"/>
      <c r="V21" s="91">
        <f>SUM(V10:V16)</f>
        <v>125218.70999999999</v>
      </c>
      <c r="W21" s="91">
        <f>SUM(W10:W17)</f>
        <v>15832984.289999999</v>
      </c>
      <c r="X21" s="56"/>
      <c r="Y21" s="91">
        <f>SUM(Y10:Y16)</f>
        <v>125218.69954</v>
      </c>
      <c r="Z21" s="91">
        <f>$AA$7*$AA$8*1.19</f>
        <v>68915.489440000005</v>
      </c>
      <c r="AA21" s="91">
        <f>+Y21+Z21</f>
        <v>194134.18898000001</v>
      </c>
      <c r="AB21" s="92">
        <f>+W21-Z21</f>
        <v>15764068.800559999</v>
      </c>
      <c r="AD21" s="56" t="s">
        <v>93</v>
      </c>
    </row>
    <row r="22" spans="3:30" s="49" customFormat="1" ht="12.75" x14ac:dyDescent="0.2"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U22" s="82"/>
      <c r="V22" s="83"/>
      <c r="W22" s="84"/>
      <c r="X22" s="56"/>
      <c r="Y22" s="88"/>
      <c r="Z22" s="56"/>
      <c r="AA22" s="56"/>
      <c r="AB22" s="56"/>
    </row>
    <row r="23" spans="3:30" s="49" customFormat="1" ht="12.75" x14ac:dyDescent="0.2"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U23" s="82"/>
      <c r="V23" s="83"/>
      <c r="W23" s="84"/>
      <c r="X23" s="56"/>
      <c r="Y23" s="88"/>
      <c r="Z23" s="56"/>
      <c r="AA23" s="56"/>
      <c r="AB23" s="96"/>
    </row>
    <row r="24" spans="3:30" s="49" customFormat="1" ht="11.25" x14ac:dyDescent="0.15">
      <c r="C24" s="81" t="s">
        <v>71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U24" s="82"/>
      <c r="V24" s="83"/>
      <c r="W24" s="84"/>
      <c r="X24" s="56"/>
      <c r="Y24" s="88"/>
      <c r="Z24" s="56"/>
      <c r="AA24" s="56"/>
      <c r="AB24" s="56"/>
    </row>
    <row r="28" spans="3:30" x14ac:dyDescent="0.25">
      <c r="C28" s="2" t="s">
        <v>31</v>
      </c>
    </row>
  </sheetData>
  <mergeCells count="42">
    <mergeCell ref="C10:D10"/>
    <mergeCell ref="E10:F10"/>
    <mergeCell ref="I10:J10"/>
    <mergeCell ref="L10:M10"/>
    <mergeCell ref="F2:M2"/>
    <mergeCell ref="C9:D9"/>
    <mergeCell ref="E9:F9"/>
    <mergeCell ref="I9:J9"/>
    <mergeCell ref="L9:M9"/>
    <mergeCell ref="C11:D11"/>
    <mergeCell ref="E11:F11"/>
    <mergeCell ref="I11:J11"/>
    <mergeCell ref="L11:M11"/>
    <mergeCell ref="C12:D12"/>
    <mergeCell ref="E12:F12"/>
    <mergeCell ref="I12:J12"/>
    <mergeCell ref="L12:M12"/>
    <mergeCell ref="C13:D13"/>
    <mergeCell ref="E13:F13"/>
    <mergeCell ref="I13:J13"/>
    <mergeCell ref="L13:M13"/>
    <mergeCell ref="C14:D14"/>
    <mergeCell ref="E14:F14"/>
    <mergeCell ref="I14:J14"/>
    <mergeCell ref="L14:M14"/>
    <mergeCell ref="C15:D15"/>
    <mergeCell ref="E15:F15"/>
    <mergeCell ref="I15:J15"/>
    <mergeCell ref="L15:M15"/>
    <mergeCell ref="C16:D16"/>
    <mergeCell ref="E16:F16"/>
    <mergeCell ref="I16:J16"/>
    <mergeCell ref="L16:M16"/>
    <mergeCell ref="C21:N21"/>
    <mergeCell ref="C17:D17"/>
    <mergeCell ref="E17:F17"/>
    <mergeCell ref="I17:J17"/>
    <mergeCell ref="L17:M17"/>
    <mergeCell ref="C18:D18"/>
    <mergeCell ref="E18:F18"/>
    <mergeCell ref="I18:J18"/>
    <mergeCell ref="L18:M18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500F-F6ED-40B7-B98D-8CA956722BC5}">
  <dimension ref="A1:L15"/>
  <sheetViews>
    <sheetView workbookViewId="0">
      <selection activeCell="C10" sqref="C10"/>
    </sheetView>
  </sheetViews>
  <sheetFormatPr baseColWidth="10" defaultRowHeight="15" x14ac:dyDescent="0.25"/>
  <cols>
    <col min="1" max="1" width="4.710937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2" x14ac:dyDescent="0.25">
      <c r="B1" s="119" t="s">
        <v>72</v>
      </c>
      <c r="C1" s="119" t="s">
        <v>73</v>
      </c>
      <c r="D1" s="119" t="s">
        <v>54</v>
      </c>
      <c r="E1" s="119" t="s">
        <v>74</v>
      </c>
      <c r="F1" s="119" t="s">
        <v>75</v>
      </c>
      <c r="G1" s="119" t="s">
        <v>6</v>
      </c>
      <c r="H1" s="119" t="s">
        <v>56</v>
      </c>
      <c r="I1" s="119" t="s">
        <v>76</v>
      </c>
      <c r="J1" s="119" t="s">
        <v>78</v>
      </c>
      <c r="K1" s="119" t="s">
        <v>79</v>
      </c>
      <c r="L1" s="47" t="s">
        <v>77</v>
      </c>
    </row>
    <row r="2" spans="1:12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125</v>
      </c>
      <c r="F2" s="120" t="s">
        <v>126</v>
      </c>
      <c r="G2" s="120" t="s">
        <v>127</v>
      </c>
      <c r="H2" s="120" t="s">
        <v>128</v>
      </c>
      <c r="I2" s="122">
        <v>3836811</v>
      </c>
      <c r="J2" s="120" t="s">
        <v>83</v>
      </c>
      <c r="K2" s="120" t="s">
        <v>84</v>
      </c>
      <c r="L2" s="124">
        <f t="shared" ref="L2:L4" si="0">+I2/1.19</f>
        <v>3224210.9243697482</v>
      </c>
    </row>
    <row r="3" spans="1:12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129</v>
      </c>
      <c r="F3" s="120" t="s">
        <v>130</v>
      </c>
      <c r="G3" s="120" t="s">
        <v>127</v>
      </c>
      <c r="H3" s="120" t="s">
        <v>128</v>
      </c>
      <c r="I3" s="122">
        <v>1918405</v>
      </c>
      <c r="J3" s="120" t="s">
        <v>83</v>
      </c>
      <c r="K3" s="120" t="s">
        <v>84</v>
      </c>
      <c r="L3" s="124">
        <f t="shared" si="0"/>
        <v>1612105.0420168068</v>
      </c>
    </row>
    <row r="4" spans="1:12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131</v>
      </c>
      <c r="F4" s="120" t="s">
        <v>132</v>
      </c>
      <c r="G4" s="120" t="s">
        <v>127</v>
      </c>
      <c r="H4" s="120" t="s">
        <v>128</v>
      </c>
      <c r="I4" s="122">
        <v>4796013</v>
      </c>
      <c r="J4" s="120" t="s">
        <v>83</v>
      </c>
      <c r="K4" s="120" t="s">
        <v>84</v>
      </c>
      <c r="L4" s="124">
        <f t="shared" si="0"/>
        <v>4030263.0252100844</v>
      </c>
    </row>
    <row r="5" spans="1:12" x14ac:dyDescent="0.25">
      <c r="I5" s="123"/>
    </row>
    <row r="7" spans="1:12" x14ac:dyDescent="0.25">
      <c r="C7" s="93"/>
      <c r="D7" s="93"/>
      <c r="E7" s="93"/>
      <c r="F7" s="93"/>
      <c r="G7" s="93"/>
      <c r="H7" s="93"/>
    </row>
    <row r="8" spans="1:12" x14ac:dyDescent="0.25">
      <c r="C8" s="125" t="s">
        <v>133</v>
      </c>
      <c r="D8" s="93"/>
      <c r="E8" s="125"/>
      <c r="F8" s="93"/>
      <c r="G8" s="93"/>
      <c r="H8" s="93"/>
    </row>
    <row r="9" spans="1:12" x14ac:dyDescent="0.25">
      <c r="C9" s="125" t="s">
        <v>182</v>
      </c>
      <c r="D9" s="125"/>
      <c r="E9" s="93"/>
      <c r="F9" s="93"/>
      <c r="G9" s="93"/>
      <c r="H9" s="93"/>
    </row>
    <row r="10" spans="1:12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2" x14ac:dyDescent="0.25">
      <c r="C11" s="121">
        <v>0.1</v>
      </c>
      <c r="D11" s="127" t="s">
        <v>134</v>
      </c>
      <c r="E11" s="128"/>
      <c r="F11" s="129">
        <f>+L4</f>
        <v>4030263.0252100844</v>
      </c>
      <c r="G11" s="130">
        <f>+'CTA CORRIENTE'!H8+'CTA CORRIENTE'!H12+'CTA CORRIENTE'!H18</f>
        <v>4030263.4134453787</v>
      </c>
      <c r="H11" s="130">
        <f>+G11-F11</f>
        <v>0.38823529426008463</v>
      </c>
    </row>
    <row r="12" spans="1:12" x14ac:dyDescent="0.25">
      <c r="C12" s="121">
        <v>0.08</v>
      </c>
      <c r="D12" s="127" t="s">
        <v>135</v>
      </c>
      <c r="E12" s="128"/>
      <c r="F12" s="129">
        <f>+L2</f>
        <v>3224210.9243697482</v>
      </c>
      <c r="G12" s="130">
        <f>+'CTA CORRIENTE'!H9+'CTA CORRIENTE'!H13+'CTA CORRIENTE'!H19</f>
        <v>3224210.7307563024</v>
      </c>
      <c r="H12" s="130">
        <f t="shared" ref="H12:H13" si="1">+G12-F12</f>
        <v>-0.19361344585195184</v>
      </c>
    </row>
    <row r="13" spans="1:12" x14ac:dyDescent="0.25">
      <c r="C13" s="121">
        <v>0.04</v>
      </c>
      <c r="D13" s="131" t="s">
        <v>136</v>
      </c>
      <c r="E13" s="132"/>
      <c r="F13" s="129">
        <f>+L3</f>
        <v>1612105.0420168068</v>
      </c>
      <c r="G13" s="130">
        <f>+'CTA CORRIENTE'!H10+'CTA CORRIENTE'!H14+'CTA CORRIENTE'!H20</f>
        <v>1612105.3653781512</v>
      </c>
      <c r="H13" s="130">
        <f t="shared" si="1"/>
        <v>0.32336134440265596</v>
      </c>
    </row>
    <row r="14" spans="1:12" x14ac:dyDescent="0.25">
      <c r="C14" s="133" t="s">
        <v>91</v>
      </c>
      <c r="D14" s="133"/>
      <c r="E14" s="133"/>
      <c r="F14" s="134">
        <f>+SUM(F11:F13)</f>
        <v>8866578.9915966392</v>
      </c>
      <c r="G14" s="134">
        <f>+SUM(G11:G13)</f>
        <v>8866579.5095798317</v>
      </c>
      <c r="H14" s="134">
        <f>+SUM(H11:H13)</f>
        <v>0.51798319281078875</v>
      </c>
    </row>
    <row r="15" spans="1:12" x14ac:dyDescent="0.25">
      <c r="C15" s="133" t="s">
        <v>92</v>
      </c>
      <c r="D15" s="133"/>
      <c r="E15" s="133"/>
      <c r="F15" s="135"/>
      <c r="G15" s="134">
        <f>+F14-G14</f>
        <v>-0.51798319257795811</v>
      </c>
      <c r="H15" s="13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AD4D-8243-413A-91A3-64866CAFA62D}">
  <dimension ref="B2:G29"/>
  <sheetViews>
    <sheetView workbookViewId="0">
      <selection activeCell="J17" sqref="J17"/>
    </sheetView>
  </sheetViews>
  <sheetFormatPr baseColWidth="10" defaultRowHeight="15" x14ac:dyDescent="0.25"/>
  <cols>
    <col min="2" max="2" width="19.140625" customWidth="1"/>
    <col min="3" max="3" width="17" bestFit="1" customWidth="1"/>
    <col min="7" max="7" width="5.140625" bestFit="1" customWidth="1"/>
  </cols>
  <sheetData>
    <row r="2" spans="2:7" x14ac:dyDescent="0.25">
      <c r="B2" t="s">
        <v>141</v>
      </c>
    </row>
    <row r="3" spans="2:7" ht="5.25" customHeight="1" x14ac:dyDescent="0.25"/>
    <row r="4" spans="2:7" x14ac:dyDescent="0.25">
      <c r="B4" t="s">
        <v>144</v>
      </c>
      <c r="C4" t="s">
        <v>145</v>
      </c>
    </row>
    <row r="5" spans="2:7" x14ac:dyDescent="0.25">
      <c r="B5" t="s">
        <v>159</v>
      </c>
      <c r="C5" s="154">
        <v>934</v>
      </c>
    </row>
    <row r="7" spans="2:7" x14ac:dyDescent="0.25">
      <c r="B7" s="157" t="s">
        <v>142</v>
      </c>
      <c r="C7" s="157" t="s">
        <v>146</v>
      </c>
      <c r="D7" s="157" t="s">
        <v>147</v>
      </c>
      <c r="E7" s="157" t="s">
        <v>149</v>
      </c>
      <c r="F7" s="157" t="s">
        <v>150</v>
      </c>
    </row>
    <row r="8" spans="2:7" x14ac:dyDescent="0.25">
      <c r="B8" t="s">
        <v>143</v>
      </c>
      <c r="C8" s="155">
        <v>2</v>
      </c>
      <c r="D8" s="97" t="s">
        <v>148</v>
      </c>
      <c r="E8" s="97">
        <v>40732</v>
      </c>
      <c r="F8" s="97">
        <f>+E8*C8</f>
        <v>81464</v>
      </c>
    </row>
    <row r="9" spans="2:7" hidden="1" x14ac:dyDescent="0.25">
      <c r="C9" s="97"/>
      <c r="D9" s="97"/>
      <c r="E9" s="97"/>
      <c r="F9" s="97"/>
    </row>
    <row r="10" spans="2:7" hidden="1" x14ac:dyDescent="0.25">
      <c r="C10" s="97"/>
      <c r="D10" s="97"/>
      <c r="E10" s="97"/>
      <c r="F10" s="97"/>
    </row>
    <row r="11" spans="2:7" x14ac:dyDescent="0.25">
      <c r="B11" s="8"/>
      <c r="C11" s="156"/>
      <c r="D11" s="156"/>
      <c r="E11" s="156"/>
      <c r="F11" s="156"/>
    </row>
    <row r="12" spans="2:7" x14ac:dyDescent="0.25">
      <c r="C12" s="97"/>
      <c r="D12" s="97"/>
      <c r="E12" s="97"/>
      <c r="F12" s="158">
        <f>+SUM(F8:F11)</f>
        <v>81464</v>
      </c>
      <c r="G12" t="s">
        <v>151</v>
      </c>
    </row>
    <row r="13" spans="2:7" x14ac:dyDescent="0.25">
      <c r="C13" s="97"/>
      <c r="D13" s="97"/>
      <c r="E13" s="97"/>
      <c r="F13" s="97">
        <f>+F12*0.19</f>
        <v>15478.16</v>
      </c>
      <c r="G13" t="s">
        <v>152</v>
      </c>
    </row>
    <row r="14" spans="2:7" x14ac:dyDescent="0.25">
      <c r="B14" t="s">
        <v>154</v>
      </c>
      <c r="C14" s="97"/>
      <c r="D14" s="97"/>
      <c r="E14" s="97"/>
      <c r="F14" s="158">
        <f>+F12+F13</f>
        <v>96942.16</v>
      </c>
      <c r="G14" t="s">
        <v>153</v>
      </c>
    </row>
    <row r="17" spans="2:7" x14ac:dyDescent="0.25">
      <c r="B17" t="s">
        <v>141</v>
      </c>
    </row>
    <row r="18" spans="2:7" ht="6" customHeight="1" x14ac:dyDescent="0.25"/>
    <row r="19" spans="2:7" x14ac:dyDescent="0.25">
      <c r="B19" t="s">
        <v>144</v>
      </c>
      <c r="C19" t="s">
        <v>145</v>
      </c>
    </row>
    <row r="20" spans="2:7" x14ac:dyDescent="0.25">
      <c r="B20" t="s">
        <v>160</v>
      </c>
      <c r="C20" s="154">
        <v>943</v>
      </c>
    </row>
    <row r="21" spans="2:7" ht="6" customHeight="1" x14ac:dyDescent="0.25"/>
    <row r="22" spans="2:7" x14ac:dyDescent="0.25">
      <c r="B22" s="157" t="s">
        <v>142</v>
      </c>
      <c r="C22" s="157" t="s">
        <v>146</v>
      </c>
      <c r="D22" s="157" t="s">
        <v>147</v>
      </c>
      <c r="E22" s="157" t="s">
        <v>149</v>
      </c>
      <c r="F22" s="157" t="s">
        <v>150</v>
      </c>
    </row>
    <row r="23" spans="2:7" x14ac:dyDescent="0.25">
      <c r="B23" t="s">
        <v>143</v>
      </c>
      <c r="C23" s="155">
        <v>6</v>
      </c>
      <c r="D23" s="97" t="s">
        <v>148</v>
      </c>
      <c r="E23" s="97">
        <v>40732</v>
      </c>
      <c r="F23" s="97">
        <f>+E23*C23</f>
        <v>244392</v>
      </c>
    </row>
    <row r="24" spans="2:7" x14ac:dyDescent="0.25">
      <c r="C24" s="97"/>
      <c r="D24" s="97"/>
      <c r="E24" s="97"/>
      <c r="F24" s="97"/>
    </row>
    <row r="25" spans="2:7" x14ac:dyDescent="0.25">
      <c r="C25" s="97"/>
      <c r="D25" s="97"/>
      <c r="E25" s="97"/>
      <c r="F25" s="97"/>
    </row>
    <row r="26" spans="2:7" x14ac:dyDescent="0.25">
      <c r="B26" s="8"/>
      <c r="C26" s="156"/>
      <c r="D26" s="156"/>
      <c r="E26" s="156"/>
      <c r="F26" s="156"/>
    </row>
    <row r="27" spans="2:7" x14ac:dyDescent="0.25">
      <c r="C27" s="97"/>
      <c r="D27" s="97"/>
      <c r="E27" s="97"/>
      <c r="F27" s="158">
        <f>+SUM(F23:F26)</f>
        <v>244392</v>
      </c>
      <c r="G27" t="s">
        <v>151</v>
      </c>
    </row>
    <row r="28" spans="2:7" x14ac:dyDescent="0.25">
      <c r="C28" s="97"/>
      <c r="D28" s="97"/>
      <c r="E28" s="97"/>
      <c r="F28" s="97">
        <f>+F27*0.19</f>
        <v>46434.48</v>
      </c>
      <c r="G28" t="s">
        <v>152</v>
      </c>
    </row>
    <row r="29" spans="2:7" x14ac:dyDescent="0.25">
      <c r="B29" s="99" t="s">
        <v>155</v>
      </c>
      <c r="C29" s="97"/>
      <c r="D29" s="97"/>
      <c r="E29" s="97"/>
      <c r="F29" s="158">
        <f>+F27+F28</f>
        <v>290826.48</v>
      </c>
      <c r="G29" t="s">
        <v>153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157F5-DB95-4D35-BAA6-80EA2CEA0291}">
  <sheetPr>
    <tabColor theme="4" tint="0.59999389629810485"/>
  </sheetPr>
  <dimension ref="A1:W271"/>
  <sheetViews>
    <sheetView tabSelected="1" zoomScale="115" zoomScaleNormal="115" workbookViewId="0">
      <pane xSplit="3" ySplit="5" topLeftCell="D215" activePane="bottomRight" state="frozen"/>
      <selection pane="topRight" activeCell="D1" sqref="D1"/>
      <selection pane="bottomLeft" activeCell="A6" sqref="A6"/>
      <selection pane="bottomRight" activeCell="H145" sqref="H145"/>
    </sheetView>
  </sheetViews>
  <sheetFormatPr baseColWidth="10" defaultRowHeight="15" x14ac:dyDescent="0.25"/>
  <cols>
    <col min="1" max="1" width="2.7109375" bestFit="1" customWidth="1"/>
    <col min="7" max="7" width="6.28515625" bestFit="1" customWidth="1"/>
    <col min="8" max="8" width="19.85546875" bestFit="1" customWidth="1"/>
    <col min="10" max="10" width="13.140625" bestFit="1" customWidth="1"/>
    <col min="11" max="11" width="14.85546875" bestFit="1" customWidth="1"/>
    <col min="12" max="13" width="12.85546875" bestFit="1" customWidth="1"/>
    <col min="15" max="15" width="14" style="193" customWidth="1"/>
  </cols>
  <sheetData>
    <row r="1" spans="1:23" x14ac:dyDescent="0.25">
      <c r="A1" s="1"/>
      <c r="B1" s="2" t="s">
        <v>27</v>
      </c>
      <c r="E1" s="3"/>
      <c r="G1" s="4"/>
      <c r="H1" s="97"/>
      <c r="I1" s="5"/>
      <c r="J1" s="11">
        <f>+J2+J3</f>
        <v>888906107.47039998</v>
      </c>
      <c r="K1" s="5"/>
      <c r="L1" s="5"/>
      <c r="M1" s="199">
        <f>+SUMIF(M5:M86,"",J5:J86)</f>
        <v>0</v>
      </c>
      <c r="N1" s="6"/>
      <c r="O1" s="192" t="s">
        <v>0</v>
      </c>
      <c r="P1" s="7"/>
      <c r="Q1" s="8"/>
      <c r="S1" s="9"/>
      <c r="T1" s="9"/>
      <c r="U1" s="9"/>
    </row>
    <row r="2" spans="1:23" x14ac:dyDescent="0.25">
      <c r="A2" s="1"/>
      <c r="B2" s="99" t="s">
        <v>1</v>
      </c>
      <c r="E2" s="3"/>
      <c r="G2" s="4"/>
      <c r="H2" s="5"/>
      <c r="J2" s="217">
        <v>-2757825</v>
      </c>
      <c r="K2" s="218" t="s">
        <v>629</v>
      </c>
      <c r="S2" s="9"/>
      <c r="T2" s="9"/>
      <c r="U2" s="9"/>
    </row>
    <row r="3" spans="1:23" ht="14.25" customHeight="1" x14ac:dyDescent="0.25">
      <c r="A3" s="1"/>
      <c r="B3" s="10" t="s">
        <v>2</v>
      </c>
      <c r="E3" s="3"/>
      <c r="G3" s="4"/>
      <c r="H3" s="230">
        <f>+SUBTOTAL(9,H7:H258)</f>
        <v>1092486079.7112603</v>
      </c>
      <c r="J3" s="11">
        <f>+SUBTOTAL(9,J7:J279)</f>
        <v>891663932.47039998</v>
      </c>
      <c r="L3" s="1">
        <v>21</v>
      </c>
      <c r="M3" s="1"/>
      <c r="S3" s="9"/>
      <c r="T3" s="9"/>
      <c r="U3" s="9"/>
    </row>
    <row r="4" spans="1:23" x14ac:dyDescent="0.25">
      <c r="A4" s="1">
        <v>1</v>
      </c>
      <c r="B4" s="12" t="s">
        <v>3</v>
      </c>
      <c r="C4" s="13" t="s">
        <v>4</v>
      </c>
      <c r="D4" s="13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6" t="s">
        <v>10</v>
      </c>
      <c r="J4" s="17" t="s">
        <v>11</v>
      </c>
      <c r="K4" s="17" t="s">
        <v>12</v>
      </c>
      <c r="L4" s="18" t="s">
        <v>13</v>
      </c>
      <c r="M4" s="18" t="s">
        <v>14</v>
      </c>
      <c r="N4" s="18" t="s">
        <v>15</v>
      </c>
      <c r="O4" s="194" t="s">
        <v>16</v>
      </c>
      <c r="P4" s="18" t="s">
        <v>17</v>
      </c>
      <c r="Q4" s="18" t="s">
        <v>18</v>
      </c>
      <c r="R4" s="18" t="s">
        <v>19</v>
      </c>
      <c r="S4" s="19" t="s">
        <v>20</v>
      </c>
      <c r="T4" s="5"/>
      <c r="U4" s="20" t="s">
        <v>21</v>
      </c>
      <c r="V4" s="20" t="s">
        <v>22</v>
      </c>
      <c r="W4" s="20" t="s">
        <v>23</v>
      </c>
    </row>
    <row r="5" spans="1:23" x14ac:dyDescent="0.25">
      <c r="A5" s="1"/>
      <c r="B5" s="21" t="s">
        <v>28</v>
      </c>
      <c r="C5" s="28">
        <v>17973676</v>
      </c>
      <c r="D5" s="21" t="s">
        <v>26</v>
      </c>
      <c r="E5" s="22">
        <v>44963</v>
      </c>
      <c r="F5" s="44">
        <v>1E-3</v>
      </c>
      <c r="G5" s="23" t="s">
        <v>139</v>
      </c>
      <c r="H5" s="24">
        <v>8299</v>
      </c>
      <c r="I5" s="25">
        <f>+H5*0.19</f>
        <v>1576.81</v>
      </c>
      <c r="J5" s="25">
        <f>+IF(D5="Compra",-(H5+I5),(H5+I5))</f>
        <v>-9875.81</v>
      </c>
      <c r="K5" s="167">
        <v>45197</v>
      </c>
      <c r="L5" s="26">
        <f>+E5+30</f>
        <v>44993</v>
      </c>
      <c r="M5" s="26" t="s">
        <v>30</v>
      </c>
      <c r="N5" s="27"/>
      <c r="O5" s="26">
        <v>45198</v>
      </c>
      <c r="P5" s="45">
        <f t="shared" ref="P5:P6" si="0">+WEEKNUM(O5,21)</f>
        <v>39</v>
      </c>
      <c r="Q5" s="27"/>
      <c r="R5" s="27" t="s">
        <v>303</v>
      </c>
      <c r="S5" s="19"/>
      <c r="T5" s="19"/>
      <c r="U5" s="19"/>
      <c r="V5" s="19"/>
      <c r="W5" s="19"/>
    </row>
    <row r="6" spans="1:23" x14ac:dyDescent="0.25">
      <c r="A6" s="1"/>
      <c r="B6" s="33" t="s">
        <v>28</v>
      </c>
      <c r="C6" s="34">
        <v>41209678</v>
      </c>
      <c r="D6" s="33" t="s">
        <v>26</v>
      </c>
      <c r="E6" s="35">
        <v>45005</v>
      </c>
      <c r="F6" s="117" t="s">
        <v>29</v>
      </c>
      <c r="G6" s="42" t="s">
        <v>139</v>
      </c>
      <c r="H6" s="43">
        <v>124800</v>
      </c>
      <c r="I6" s="39">
        <f t="shared" ref="I6" si="1">+H6*0.19</f>
        <v>23712</v>
      </c>
      <c r="J6" s="39">
        <f t="shared" ref="J6" si="2">+IF(D6="Compra",-(H6+I6),(H6+I6))</f>
        <v>-148512</v>
      </c>
      <c r="K6" s="168">
        <v>45197</v>
      </c>
      <c r="L6" s="40">
        <f>+E6+30</f>
        <v>45035</v>
      </c>
      <c r="M6" s="40" t="s">
        <v>30</v>
      </c>
      <c r="N6" s="41"/>
      <c r="O6" s="40">
        <v>45198</v>
      </c>
      <c r="P6" s="39">
        <f t="shared" si="0"/>
        <v>39</v>
      </c>
      <c r="Q6" s="7"/>
      <c r="R6" s="41" t="s">
        <v>303</v>
      </c>
      <c r="S6" s="19"/>
      <c r="T6" s="19"/>
      <c r="U6" s="19"/>
      <c r="V6" s="19"/>
      <c r="W6" s="19"/>
    </row>
    <row r="7" spans="1:23" x14ac:dyDescent="0.25">
      <c r="A7" s="1">
        <f>+WEEKNUM(E7,21)</f>
        <v>39</v>
      </c>
      <c r="B7" s="21" t="s">
        <v>24</v>
      </c>
      <c r="C7" s="28">
        <v>928</v>
      </c>
      <c r="D7" s="21" t="s">
        <v>25</v>
      </c>
      <c r="E7" s="22">
        <v>45195</v>
      </c>
      <c r="F7" s="22"/>
      <c r="G7" s="23" t="s">
        <v>139</v>
      </c>
      <c r="H7" s="24">
        <v>10055838</v>
      </c>
      <c r="I7" s="25">
        <f>+H7*0.19</f>
        <v>1910609.22</v>
      </c>
      <c r="J7" s="25">
        <f t="shared" ref="J7:J10" si="3">+IF(D7="Compra",-(H7+I7),(H7+I7))</f>
        <v>11966447.220000001</v>
      </c>
      <c r="K7" s="167">
        <v>45197</v>
      </c>
      <c r="L7" s="26">
        <f>+E7+$L$3</f>
        <v>45216</v>
      </c>
      <c r="M7" s="26" t="s">
        <v>30</v>
      </c>
      <c r="N7" s="27"/>
      <c r="O7" s="26">
        <v>45198</v>
      </c>
      <c r="P7" s="25">
        <f>+WEEKNUM(O7,21)</f>
        <v>39</v>
      </c>
      <c r="Q7" s="27"/>
      <c r="R7" s="27" t="s">
        <v>303</v>
      </c>
      <c r="S7" s="19"/>
      <c r="T7" s="19"/>
      <c r="U7" s="19"/>
      <c r="V7" s="19"/>
      <c r="W7" s="19"/>
    </row>
    <row r="8" spans="1:23" x14ac:dyDescent="0.25">
      <c r="A8" s="1"/>
      <c r="B8" s="21" t="s">
        <v>24</v>
      </c>
      <c r="C8" s="28">
        <v>19244759</v>
      </c>
      <c r="D8" s="21" t="s">
        <v>26</v>
      </c>
      <c r="E8" s="22"/>
      <c r="F8" s="29">
        <v>0.1</v>
      </c>
      <c r="G8" s="23" t="s">
        <v>139</v>
      </c>
      <c r="H8" s="30">
        <f>+$H$7*F8</f>
        <v>1005583.8</v>
      </c>
      <c r="I8" s="25">
        <f t="shared" ref="I8:I10" si="4">+H8*0.19</f>
        <v>191060.92200000002</v>
      </c>
      <c r="J8" s="25">
        <f t="shared" si="3"/>
        <v>-1196644.7220000001</v>
      </c>
      <c r="K8" s="167">
        <v>45204</v>
      </c>
      <c r="L8" s="26">
        <f>+E8+$L$3</f>
        <v>21</v>
      </c>
      <c r="M8" s="26" t="s">
        <v>140</v>
      </c>
      <c r="N8" s="27"/>
      <c r="O8" s="26">
        <v>45204</v>
      </c>
      <c r="P8" s="25">
        <f t="shared" ref="P8:P44" si="5">+WEEKNUM(O8,21)</f>
        <v>40</v>
      </c>
      <c r="Q8" s="27"/>
      <c r="R8" s="27" t="s">
        <v>303</v>
      </c>
      <c r="U8" s="19"/>
      <c r="V8" s="19"/>
      <c r="W8" s="19"/>
    </row>
    <row r="9" spans="1:23" x14ac:dyDescent="0.25">
      <c r="A9" s="1"/>
      <c r="B9" s="21" t="s">
        <v>24</v>
      </c>
      <c r="C9" s="28">
        <v>19245921</v>
      </c>
      <c r="D9" s="21" t="s">
        <v>26</v>
      </c>
      <c r="E9" s="22"/>
      <c r="F9" s="29">
        <v>0.08</v>
      </c>
      <c r="G9" s="31" t="s">
        <v>139</v>
      </c>
      <c r="H9" s="32">
        <f>+$H$7*F9</f>
        <v>804467.04</v>
      </c>
      <c r="I9" s="25">
        <f>+H9*0.19</f>
        <v>152848.73760000002</v>
      </c>
      <c r="J9" s="25">
        <f>+IF(D9="Compra",-(H9+I9),(H9+I9))</f>
        <v>-957315.77760000003</v>
      </c>
      <c r="K9" s="167">
        <v>45204</v>
      </c>
      <c r="L9" s="26">
        <f>+E9+$L$3</f>
        <v>21</v>
      </c>
      <c r="M9" s="26" t="s">
        <v>140</v>
      </c>
      <c r="N9" s="27"/>
      <c r="O9" s="26">
        <v>45204</v>
      </c>
      <c r="P9" s="25">
        <f t="shared" si="5"/>
        <v>40</v>
      </c>
      <c r="Q9" s="3"/>
      <c r="R9" s="27" t="s">
        <v>303</v>
      </c>
    </row>
    <row r="10" spans="1:23" x14ac:dyDescent="0.25">
      <c r="A10" s="1"/>
      <c r="B10" s="33" t="s">
        <v>24</v>
      </c>
      <c r="C10" s="34">
        <v>19245410</v>
      </c>
      <c r="D10" s="33" t="s">
        <v>26</v>
      </c>
      <c r="E10" s="35"/>
      <c r="F10" s="36">
        <v>0.04</v>
      </c>
      <c r="G10" s="37" t="s">
        <v>139</v>
      </c>
      <c r="H10" s="38">
        <f t="shared" ref="H10" si="6">+$H$7*F10</f>
        <v>402233.52</v>
      </c>
      <c r="I10" s="39">
        <f t="shared" si="4"/>
        <v>76424.368800000011</v>
      </c>
      <c r="J10" s="39">
        <f t="shared" si="3"/>
        <v>-478657.88880000002</v>
      </c>
      <c r="K10" s="168">
        <v>45204</v>
      </c>
      <c r="L10" s="40">
        <f t="shared" ref="L10" si="7">+E10+$L$3</f>
        <v>21</v>
      </c>
      <c r="M10" s="40" t="s">
        <v>140</v>
      </c>
      <c r="N10" s="41"/>
      <c r="O10" s="40">
        <v>45204</v>
      </c>
      <c r="P10" s="39">
        <f t="shared" si="5"/>
        <v>40</v>
      </c>
      <c r="Q10" s="7"/>
      <c r="R10" s="41" t="s">
        <v>303</v>
      </c>
    </row>
    <row r="11" spans="1:23" x14ac:dyDescent="0.25">
      <c r="A11" s="1">
        <f>+WEEKNUM(E11,21)</f>
        <v>39</v>
      </c>
      <c r="B11" s="21" t="s">
        <v>24</v>
      </c>
      <c r="C11" s="28">
        <v>929</v>
      </c>
      <c r="D11" s="21" t="s">
        <v>25</v>
      </c>
      <c r="E11" s="22">
        <v>45195</v>
      </c>
      <c r="F11" s="22"/>
      <c r="G11" s="23" t="s">
        <v>139</v>
      </c>
      <c r="H11" s="24">
        <v>3487516</v>
      </c>
      <c r="I11" s="25">
        <f>+H11*0.19</f>
        <v>662628.04</v>
      </c>
      <c r="J11" s="25">
        <f t="shared" ref="J11:J14" si="8">+IF(D11="Compra",-(H11+I11),(H11+I11))</f>
        <v>4150144.04</v>
      </c>
      <c r="K11" s="167">
        <v>45197</v>
      </c>
      <c r="L11" s="26">
        <f>+E11+$L$3</f>
        <v>45216</v>
      </c>
      <c r="M11" s="26" t="s">
        <v>30</v>
      </c>
      <c r="N11" s="27"/>
      <c r="O11" s="26">
        <v>45198</v>
      </c>
      <c r="P11" s="25">
        <f t="shared" si="5"/>
        <v>39</v>
      </c>
      <c r="Q11" s="27"/>
      <c r="R11" s="27" t="s">
        <v>303</v>
      </c>
      <c r="S11" s="19"/>
      <c r="T11" s="19"/>
      <c r="U11" s="19"/>
      <c r="V11" s="19"/>
      <c r="W11" s="19"/>
    </row>
    <row r="12" spans="1:23" x14ac:dyDescent="0.25">
      <c r="A12" s="1"/>
      <c r="B12" s="21" t="s">
        <v>24</v>
      </c>
      <c r="C12" s="28">
        <v>19244759</v>
      </c>
      <c r="D12" s="21" t="s">
        <v>26</v>
      </c>
      <c r="E12" s="22"/>
      <c r="F12" s="29">
        <v>0.1</v>
      </c>
      <c r="G12" s="23" t="s">
        <v>139</v>
      </c>
      <c r="H12" s="30">
        <f>+$H$11*F12</f>
        <v>348751.60000000003</v>
      </c>
      <c r="I12" s="25">
        <f t="shared" ref="I12:I14" si="9">+H12*0.19</f>
        <v>66262.804000000004</v>
      </c>
      <c r="J12" s="25">
        <f t="shared" si="8"/>
        <v>-415014.40400000004</v>
      </c>
      <c r="K12" s="167">
        <v>45204</v>
      </c>
      <c r="L12" s="26">
        <f>+E12+$L$3</f>
        <v>21</v>
      </c>
      <c r="M12" s="26" t="s">
        <v>140</v>
      </c>
      <c r="N12" s="27"/>
      <c r="O12" s="26">
        <v>45204</v>
      </c>
      <c r="P12" s="25">
        <f t="shared" si="5"/>
        <v>40</v>
      </c>
      <c r="Q12" s="27"/>
      <c r="R12" s="27" t="s">
        <v>303</v>
      </c>
      <c r="U12" s="19"/>
      <c r="V12" s="19"/>
      <c r="W12" s="19"/>
    </row>
    <row r="13" spans="1:23" x14ac:dyDescent="0.25">
      <c r="A13" s="1"/>
      <c r="B13" s="21" t="s">
        <v>24</v>
      </c>
      <c r="C13" s="28">
        <v>19245921</v>
      </c>
      <c r="D13" s="21" t="s">
        <v>26</v>
      </c>
      <c r="E13" s="22"/>
      <c r="F13" s="29">
        <v>0.08</v>
      </c>
      <c r="G13" s="31" t="s">
        <v>139</v>
      </c>
      <c r="H13" s="32">
        <f>+F13*$H$11</f>
        <v>279001.28000000003</v>
      </c>
      <c r="I13" s="25">
        <f>+H13*0.19</f>
        <v>53010.243200000004</v>
      </c>
      <c r="J13" s="25">
        <f>+IF(D13="Compra",-(H13+I13),(H13+I13))</f>
        <v>-332011.52320000005</v>
      </c>
      <c r="K13" s="167">
        <v>45204</v>
      </c>
      <c r="L13" s="26">
        <f>+E13+$L$3</f>
        <v>21</v>
      </c>
      <c r="M13" s="26" t="s">
        <v>140</v>
      </c>
      <c r="N13" s="27"/>
      <c r="O13" s="26">
        <v>45204</v>
      </c>
      <c r="P13" s="25">
        <f t="shared" si="5"/>
        <v>40</v>
      </c>
      <c r="Q13" s="3"/>
      <c r="R13" s="27" t="s">
        <v>303</v>
      </c>
    </row>
    <row r="14" spans="1:23" x14ac:dyDescent="0.25">
      <c r="A14" s="1"/>
      <c r="B14" s="33" t="s">
        <v>24</v>
      </c>
      <c r="C14" s="34">
        <v>19245410</v>
      </c>
      <c r="D14" s="33" t="s">
        <v>26</v>
      </c>
      <c r="E14" s="35"/>
      <c r="F14" s="36">
        <v>0.04</v>
      </c>
      <c r="G14" s="37" t="s">
        <v>139</v>
      </c>
      <c r="H14" s="38">
        <f>+$H$11*F14</f>
        <v>139500.64000000001</v>
      </c>
      <c r="I14" s="39">
        <f t="shared" si="9"/>
        <v>26505.121600000002</v>
      </c>
      <c r="J14" s="39">
        <f t="shared" si="8"/>
        <v>-166005.76160000003</v>
      </c>
      <c r="K14" s="168">
        <v>45204</v>
      </c>
      <c r="L14" s="40">
        <f t="shared" ref="L14" si="10">+E14+$L$3</f>
        <v>21</v>
      </c>
      <c r="M14" s="40" t="s">
        <v>140</v>
      </c>
      <c r="N14" s="41"/>
      <c r="O14" s="40">
        <v>45204</v>
      </c>
      <c r="P14" s="39">
        <f t="shared" si="5"/>
        <v>40</v>
      </c>
      <c r="Q14" s="7"/>
      <c r="R14" s="41" t="s">
        <v>303</v>
      </c>
    </row>
    <row r="15" spans="1:23" ht="14.25" customHeight="1" x14ac:dyDescent="0.25">
      <c r="A15" s="1">
        <f>+WEEKNUM(E15,21)</f>
        <v>39</v>
      </c>
      <c r="B15" s="21" t="s">
        <v>24</v>
      </c>
      <c r="C15" s="28">
        <v>934</v>
      </c>
      <c r="D15" s="21" t="s">
        <v>25</v>
      </c>
      <c r="E15" s="22">
        <v>45198</v>
      </c>
      <c r="F15" s="22"/>
      <c r="G15" s="23" t="s">
        <v>139</v>
      </c>
      <c r="H15" s="24">
        <v>26840744</v>
      </c>
      <c r="I15" s="25">
        <f>+H15*0.19</f>
        <v>5099741.3600000003</v>
      </c>
      <c r="J15" s="25">
        <f>+IF(D15="Compra",-(H15+I15),(H15+I15))</f>
        <v>31940485.359999999</v>
      </c>
      <c r="K15" s="167">
        <v>45204</v>
      </c>
      <c r="L15" s="26">
        <f>+E15+$L$3</f>
        <v>45219</v>
      </c>
      <c r="M15" s="26" t="s">
        <v>140</v>
      </c>
      <c r="N15" s="27"/>
      <c r="O15" s="26">
        <v>45204</v>
      </c>
      <c r="P15" s="25">
        <f t="shared" si="5"/>
        <v>40</v>
      </c>
      <c r="Q15" s="27"/>
      <c r="R15" s="27" t="s">
        <v>303</v>
      </c>
      <c r="S15" s="19"/>
      <c r="T15" s="19"/>
      <c r="U15" s="19"/>
      <c r="V15" s="19"/>
      <c r="W15" s="19"/>
    </row>
    <row r="16" spans="1:23" s="3" customFormat="1" ht="12" x14ac:dyDescent="0.2">
      <c r="A16" s="1"/>
      <c r="B16" s="21" t="s">
        <v>24</v>
      </c>
      <c r="C16" s="161" t="s">
        <v>157</v>
      </c>
      <c r="D16" s="136" t="s">
        <v>137</v>
      </c>
      <c r="E16" s="162">
        <v>45204</v>
      </c>
      <c r="G16" s="138" t="s">
        <v>139</v>
      </c>
      <c r="H16" s="139">
        <f>-96942/1.19</f>
        <v>-81463.865546218498</v>
      </c>
      <c r="I16" s="139">
        <f t="shared" ref="I16" si="11">+H16*0.19</f>
        <v>-15478.134453781515</v>
      </c>
      <c r="J16" s="139">
        <f>+H16+I16</f>
        <v>-96942.000000000015</v>
      </c>
      <c r="K16" s="140"/>
      <c r="L16" s="26"/>
      <c r="M16" s="26" t="s">
        <v>140</v>
      </c>
      <c r="O16" s="40">
        <v>45204</v>
      </c>
      <c r="P16" s="25">
        <f t="shared" si="5"/>
        <v>40</v>
      </c>
      <c r="R16" s="27" t="s">
        <v>303</v>
      </c>
    </row>
    <row r="17" spans="1:19" s="3" customFormat="1" ht="12" x14ac:dyDescent="0.2">
      <c r="A17" s="1"/>
      <c r="B17" s="21" t="s">
        <v>24</v>
      </c>
      <c r="C17" s="137"/>
      <c r="D17" s="136" t="s">
        <v>91</v>
      </c>
      <c r="E17" s="141"/>
      <c r="G17" s="142" t="s">
        <v>359</v>
      </c>
      <c r="H17" s="143">
        <f>+SUM(H15:H16)</f>
        <v>26759280.134453781</v>
      </c>
      <c r="I17" s="143">
        <f>+SUM(I15:I16)</f>
        <v>5084263.2255462185</v>
      </c>
      <c r="J17" s="143">
        <f>+SUM(J15:J16)</f>
        <v>31843543.359999999</v>
      </c>
      <c r="K17" s="144"/>
      <c r="L17" s="145"/>
      <c r="M17" s="145" t="s">
        <v>138</v>
      </c>
      <c r="O17" s="40">
        <v>45204</v>
      </c>
      <c r="P17" s="39">
        <f t="shared" si="5"/>
        <v>40</v>
      </c>
      <c r="Q17" s="7"/>
      <c r="R17" s="41" t="s">
        <v>303</v>
      </c>
    </row>
    <row r="18" spans="1:19" x14ac:dyDescent="0.25">
      <c r="A18" s="1"/>
      <c r="B18" s="21" t="s">
        <v>24</v>
      </c>
      <c r="C18" s="28">
        <v>19244759</v>
      </c>
      <c r="D18" s="21" t="s">
        <v>26</v>
      </c>
      <c r="E18" s="22"/>
      <c r="F18" s="29">
        <v>0.1</v>
      </c>
      <c r="G18" s="23" t="s">
        <v>139</v>
      </c>
      <c r="H18" s="30">
        <f>+$H$17*F18</f>
        <v>2675928.0134453783</v>
      </c>
      <c r="I18" s="25">
        <f>+H18*0.19</f>
        <v>508426.3225546219</v>
      </c>
      <c r="J18" s="25">
        <f>+IF(D18="Compra",-(H18+I18),(H18+I18))</f>
        <v>-3184354.3360000001</v>
      </c>
      <c r="K18" s="167">
        <v>45204</v>
      </c>
      <c r="L18" s="26">
        <f>+E18+$L$3</f>
        <v>21</v>
      </c>
      <c r="M18" s="26" t="s">
        <v>140</v>
      </c>
      <c r="N18" s="27"/>
      <c r="O18" s="26">
        <v>45204</v>
      </c>
      <c r="P18" s="25">
        <f t="shared" si="5"/>
        <v>40</v>
      </c>
      <c r="Q18" s="27"/>
      <c r="R18" s="27" t="s">
        <v>303</v>
      </c>
    </row>
    <row r="19" spans="1:19" x14ac:dyDescent="0.25">
      <c r="A19" s="1"/>
      <c r="B19" s="21" t="s">
        <v>24</v>
      </c>
      <c r="C19" s="28">
        <v>19245921</v>
      </c>
      <c r="D19" s="21" t="s">
        <v>26</v>
      </c>
      <c r="E19" s="22"/>
      <c r="F19" s="29">
        <v>0.08</v>
      </c>
      <c r="G19" s="31" t="s">
        <v>139</v>
      </c>
      <c r="H19" s="32">
        <f>+$H$17*F19</f>
        <v>2140742.4107563025</v>
      </c>
      <c r="I19" s="25">
        <f>+H19*0.19</f>
        <v>406741.0580436975</v>
      </c>
      <c r="J19" s="25">
        <f>+IF(D19="Compra",-(H19+I19),(H19+I19))</f>
        <v>-2547483.4687999999</v>
      </c>
      <c r="K19" s="167">
        <v>45204</v>
      </c>
      <c r="L19" s="26">
        <f>+E19+$L$3</f>
        <v>21</v>
      </c>
      <c r="M19" s="26" t="s">
        <v>140</v>
      </c>
      <c r="N19" s="27"/>
      <c r="O19" s="26">
        <v>45204</v>
      </c>
      <c r="P19" s="25">
        <f t="shared" si="5"/>
        <v>40</v>
      </c>
      <c r="Q19" s="3"/>
      <c r="R19" s="27" t="s">
        <v>303</v>
      </c>
    </row>
    <row r="20" spans="1:19" x14ac:dyDescent="0.25">
      <c r="A20" s="1"/>
      <c r="B20" s="33" t="s">
        <v>24</v>
      </c>
      <c r="C20" s="34">
        <v>19245410</v>
      </c>
      <c r="D20" s="33" t="s">
        <v>26</v>
      </c>
      <c r="E20" s="35"/>
      <c r="F20" s="36">
        <v>0.04</v>
      </c>
      <c r="G20" s="37" t="s">
        <v>139</v>
      </c>
      <c r="H20" s="38">
        <f>+$H$17*F20</f>
        <v>1070371.2053781513</v>
      </c>
      <c r="I20" s="39">
        <f t="shared" ref="I20" si="12">+H20*0.19</f>
        <v>203370.52902184875</v>
      </c>
      <c r="J20" s="39">
        <f t="shared" ref="J20" si="13">+IF(D20="Compra",-(H20+I20),(H20+I20))</f>
        <v>-1273741.7344</v>
      </c>
      <c r="K20" s="168">
        <v>45204</v>
      </c>
      <c r="L20" s="40">
        <f t="shared" ref="L20" si="14">+E20+$L$3</f>
        <v>21</v>
      </c>
      <c r="M20" s="40" t="s">
        <v>140</v>
      </c>
      <c r="N20" s="41"/>
      <c r="O20" s="40">
        <v>45204</v>
      </c>
      <c r="P20" s="39">
        <f t="shared" si="5"/>
        <v>40</v>
      </c>
      <c r="Q20" s="7"/>
      <c r="R20" s="41" t="s">
        <v>303</v>
      </c>
    </row>
    <row r="21" spans="1:19" ht="14.25" customHeight="1" x14ac:dyDescent="0.25">
      <c r="A21" s="1">
        <f>+WEEKNUM(E21,21)</f>
        <v>40</v>
      </c>
      <c r="B21" s="21" t="s">
        <v>24</v>
      </c>
      <c r="C21" s="28">
        <v>941</v>
      </c>
      <c r="D21" s="21" t="s">
        <v>25</v>
      </c>
      <c r="E21" s="22">
        <v>45202</v>
      </c>
      <c r="F21" s="22"/>
      <c r="G21" s="23" t="s">
        <v>139</v>
      </c>
      <c r="H21" s="24">
        <v>33781776</v>
      </c>
      <c r="I21" s="25">
        <f>+H21*0.19</f>
        <v>6418537.4400000004</v>
      </c>
      <c r="J21" s="25">
        <f>+IF(D21="Compra",-(H21+I21),(H21+I21))</f>
        <v>40200313.439999998</v>
      </c>
      <c r="K21" s="167">
        <v>45204</v>
      </c>
      <c r="L21" s="26">
        <f>+E21+$L$3</f>
        <v>45223</v>
      </c>
      <c r="M21" s="26" t="s">
        <v>140</v>
      </c>
      <c r="N21" s="27"/>
      <c r="O21" s="26">
        <v>45204</v>
      </c>
      <c r="P21" s="25">
        <f t="shared" si="5"/>
        <v>40</v>
      </c>
      <c r="Q21" s="27"/>
      <c r="R21" s="27" t="s">
        <v>303</v>
      </c>
      <c r="S21" s="19"/>
    </row>
    <row r="22" spans="1:19" s="3" customFormat="1" ht="12" x14ac:dyDescent="0.2">
      <c r="A22" s="1"/>
      <c r="B22" s="21" t="s">
        <v>24</v>
      </c>
      <c r="C22" s="161" t="s">
        <v>158</v>
      </c>
      <c r="D22" s="136" t="s">
        <v>137</v>
      </c>
      <c r="E22" s="162"/>
      <c r="G22" s="138" t="s">
        <v>139</v>
      </c>
      <c r="H22" s="139">
        <f>-290826/1.19</f>
        <v>-244391.59663865546</v>
      </c>
      <c r="I22" s="139">
        <f t="shared" ref="I22" si="15">+H22*0.19</f>
        <v>-46434.403361344535</v>
      </c>
      <c r="J22" s="139">
        <f>+H22+I22</f>
        <v>-290826</v>
      </c>
      <c r="K22" s="140"/>
      <c r="L22" s="26"/>
      <c r="M22" s="26" t="s">
        <v>140</v>
      </c>
      <c r="O22" s="191">
        <v>45204</v>
      </c>
      <c r="P22" s="25">
        <f t="shared" si="5"/>
        <v>40</v>
      </c>
      <c r="R22" s="27" t="s">
        <v>303</v>
      </c>
    </row>
    <row r="23" spans="1:19" s="3" customFormat="1" ht="12" x14ac:dyDescent="0.2">
      <c r="A23" s="1"/>
      <c r="B23" s="21" t="s">
        <v>24</v>
      </c>
      <c r="C23" s="137"/>
      <c r="D23" s="136" t="s">
        <v>91</v>
      </c>
      <c r="E23" s="162">
        <v>45204</v>
      </c>
      <c r="G23" s="142" t="s">
        <v>359</v>
      </c>
      <c r="H23" s="143">
        <f>+SUM(H21:H22)</f>
        <v>33537384.403361343</v>
      </c>
      <c r="I23" s="143">
        <f>+SUM(I21:I22)</f>
        <v>6372103.0366386557</v>
      </c>
      <c r="J23" s="143">
        <f>+SUM(J21:J22)</f>
        <v>39909487.439999998</v>
      </c>
      <c r="K23" s="144"/>
      <c r="L23" s="145"/>
      <c r="M23" s="145" t="s">
        <v>138</v>
      </c>
      <c r="O23" s="191"/>
      <c r="P23" s="25">
        <f t="shared" si="5"/>
        <v>52</v>
      </c>
      <c r="R23" s="27" t="s">
        <v>303</v>
      </c>
    </row>
    <row r="24" spans="1:19" x14ac:dyDescent="0.25">
      <c r="A24" s="1"/>
      <c r="B24" s="21" t="s">
        <v>24</v>
      </c>
      <c r="C24" s="28">
        <v>19252557</v>
      </c>
      <c r="D24" s="21" t="s">
        <v>26</v>
      </c>
      <c r="E24" s="22">
        <v>45209</v>
      </c>
      <c r="F24" s="29">
        <v>0.1</v>
      </c>
      <c r="G24" s="23" t="s">
        <v>139</v>
      </c>
      <c r="H24" s="30">
        <f>+$H$23*F24</f>
        <v>3353738.4403361343</v>
      </c>
      <c r="I24" s="25">
        <f>+H24*0.19</f>
        <v>637210.30366386555</v>
      </c>
      <c r="J24" s="25">
        <f>+IF(D24="Compra",-(H24+I24),(H24+I24))</f>
        <v>-3990948.7439999999</v>
      </c>
      <c r="K24" s="167">
        <v>45209</v>
      </c>
      <c r="L24" s="26">
        <f>+E24+$L$3</f>
        <v>45230</v>
      </c>
      <c r="M24" s="26" t="s">
        <v>187</v>
      </c>
      <c r="N24" s="27"/>
      <c r="O24" s="26">
        <v>45210</v>
      </c>
      <c r="P24" s="25">
        <f t="shared" si="5"/>
        <v>41</v>
      </c>
      <c r="Q24" s="27"/>
      <c r="R24" s="27" t="s">
        <v>303</v>
      </c>
    </row>
    <row r="25" spans="1:19" x14ac:dyDescent="0.25">
      <c r="A25" s="1"/>
      <c r="B25" s="21" t="s">
        <v>24</v>
      </c>
      <c r="C25" s="28">
        <v>19253779</v>
      </c>
      <c r="D25" s="21" t="s">
        <v>26</v>
      </c>
      <c r="E25" s="22">
        <v>45209</v>
      </c>
      <c r="F25" s="29">
        <v>0.08</v>
      </c>
      <c r="G25" s="31" t="s">
        <v>139</v>
      </c>
      <c r="H25" s="32">
        <f>+$H$23*F25</f>
        <v>2682990.7522689076</v>
      </c>
      <c r="I25" s="25">
        <f>+H25*0.19</f>
        <v>509768.24293109245</v>
      </c>
      <c r="J25" s="25">
        <f>+IF(D25="Compra",-(H25+I25),(H25+I25))</f>
        <v>-3192758.9952000002</v>
      </c>
      <c r="K25" s="169">
        <v>45209</v>
      </c>
      <c r="L25" s="26">
        <f>+E25+$L$3</f>
        <v>45230</v>
      </c>
      <c r="M25" s="26" t="s">
        <v>187</v>
      </c>
      <c r="N25" s="27"/>
      <c r="O25" s="26">
        <v>45210</v>
      </c>
      <c r="P25" s="25">
        <f t="shared" si="5"/>
        <v>41</v>
      </c>
      <c r="Q25" s="3"/>
      <c r="R25" s="27" t="s">
        <v>303</v>
      </c>
    </row>
    <row r="26" spans="1:19" x14ac:dyDescent="0.25">
      <c r="A26" s="1"/>
      <c r="B26" s="33" t="s">
        <v>24</v>
      </c>
      <c r="C26" s="34">
        <v>19253264</v>
      </c>
      <c r="D26" s="33" t="s">
        <v>26</v>
      </c>
      <c r="E26" s="35">
        <v>45209</v>
      </c>
      <c r="F26" s="36">
        <v>0.04</v>
      </c>
      <c r="G26" s="37" t="s">
        <v>139</v>
      </c>
      <c r="H26" s="38">
        <f>+$H$23*F26</f>
        <v>1341495.3761344538</v>
      </c>
      <c r="I26" s="39">
        <f t="shared" ref="I26" si="16">+H26*0.19</f>
        <v>254884.12146554622</v>
      </c>
      <c r="J26" s="39">
        <f t="shared" ref="J26:J29" si="17">+IF(D26="Compra",-(H26+I26),(H26+I26))</f>
        <v>-1596379.4976000001</v>
      </c>
      <c r="K26" s="168">
        <v>45209</v>
      </c>
      <c r="L26" s="40">
        <f t="shared" ref="L26" si="18">+E26+$L$3</f>
        <v>45230</v>
      </c>
      <c r="M26" s="40" t="s">
        <v>187</v>
      </c>
      <c r="N26" s="41"/>
      <c r="O26" s="40">
        <v>45210</v>
      </c>
      <c r="P26" s="39">
        <f t="shared" si="5"/>
        <v>41</v>
      </c>
      <c r="Q26" s="7"/>
      <c r="R26" s="41" t="s">
        <v>303</v>
      </c>
    </row>
    <row r="27" spans="1:19" x14ac:dyDescent="0.25">
      <c r="A27" s="1">
        <f>+WEEKNUM(E27,21)</f>
        <v>40</v>
      </c>
      <c r="B27" s="146" t="s">
        <v>24</v>
      </c>
      <c r="C27" s="147">
        <v>19249854</v>
      </c>
      <c r="D27" s="146" t="s">
        <v>26</v>
      </c>
      <c r="E27" s="148">
        <v>45203</v>
      </c>
      <c r="F27" s="186">
        <v>1E-3</v>
      </c>
      <c r="G27" s="149" t="s">
        <v>139</v>
      </c>
      <c r="H27" s="150">
        <f>47961/1.19</f>
        <v>40303.361344537814</v>
      </c>
      <c r="I27" s="151">
        <f>+H27*0.19</f>
        <v>7657.6386554621849</v>
      </c>
      <c r="J27" s="151">
        <f t="shared" si="17"/>
        <v>-47961</v>
      </c>
      <c r="K27" s="166">
        <v>45204</v>
      </c>
      <c r="L27" s="152">
        <f>+E27+$L$3</f>
        <v>45224</v>
      </c>
      <c r="M27" s="152" t="s">
        <v>140</v>
      </c>
      <c r="N27" s="153"/>
      <c r="O27" s="152">
        <v>45204</v>
      </c>
      <c r="P27" s="39">
        <f t="shared" si="5"/>
        <v>40</v>
      </c>
      <c r="Q27" s="7"/>
      <c r="R27" s="41" t="s">
        <v>303</v>
      </c>
      <c r="S27" s="19"/>
    </row>
    <row r="28" spans="1:19" x14ac:dyDescent="0.25">
      <c r="A28" s="1"/>
      <c r="B28" s="21" t="s">
        <v>24</v>
      </c>
      <c r="C28" s="28">
        <v>943</v>
      </c>
      <c r="D28" s="21" t="s">
        <v>25</v>
      </c>
      <c r="E28" s="22">
        <v>45204</v>
      </c>
      <c r="F28" s="22"/>
      <c r="G28" s="23" t="s">
        <v>139</v>
      </c>
      <c r="H28" s="24">
        <v>2106810</v>
      </c>
      <c r="I28" s="25">
        <f>+H28*0.19</f>
        <v>400293.9</v>
      </c>
      <c r="J28" s="25">
        <f t="shared" si="17"/>
        <v>2507103.9</v>
      </c>
      <c r="K28" s="167">
        <v>45204</v>
      </c>
      <c r="L28" s="26">
        <f>+E28+$L$3</f>
        <v>45225</v>
      </c>
      <c r="M28" s="26" t="s">
        <v>140</v>
      </c>
      <c r="N28" s="27"/>
      <c r="O28" s="26">
        <v>45204</v>
      </c>
      <c r="P28" s="25">
        <f t="shared" si="5"/>
        <v>40</v>
      </c>
      <c r="Q28" s="27"/>
      <c r="R28" s="27" t="s">
        <v>303</v>
      </c>
      <c r="S28" s="19"/>
    </row>
    <row r="29" spans="1:19" x14ac:dyDescent="0.25">
      <c r="A29" s="1"/>
      <c r="B29" s="21" t="s">
        <v>24</v>
      </c>
      <c r="C29" s="28">
        <v>19252557</v>
      </c>
      <c r="D29" s="21" t="s">
        <v>26</v>
      </c>
      <c r="E29" s="22">
        <v>45209</v>
      </c>
      <c r="F29" s="29">
        <v>0.1</v>
      </c>
      <c r="G29" s="23" t="s">
        <v>139</v>
      </c>
      <c r="H29" s="30">
        <f>+$H$28*F29</f>
        <v>210681</v>
      </c>
      <c r="I29" s="25">
        <f t="shared" ref="I29" si="19">+H29*0.19</f>
        <v>40029.39</v>
      </c>
      <c r="J29" s="25">
        <f t="shared" si="17"/>
        <v>-250710.39</v>
      </c>
      <c r="K29" s="167">
        <v>45209</v>
      </c>
      <c r="L29" s="26">
        <f>+E29+$L$3</f>
        <v>45230</v>
      </c>
      <c r="M29" s="26" t="s">
        <v>187</v>
      </c>
      <c r="N29" s="27"/>
      <c r="O29" s="26">
        <v>45210</v>
      </c>
      <c r="P29" s="25">
        <f t="shared" si="5"/>
        <v>41</v>
      </c>
      <c r="Q29" s="27"/>
      <c r="R29" s="27" t="s">
        <v>303</v>
      </c>
    </row>
    <row r="30" spans="1:19" x14ac:dyDescent="0.25">
      <c r="A30" s="1"/>
      <c r="B30" s="21" t="s">
        <v>24</v>
      </c>
      <c r="C30" s="28">
        <v>19253779</v>
      </c>
      <c r="D30" s="21" t="s">
        <v>26</v>
      </c>
      <c r="E30" s="22">
        <v>45209</v>
      </c>
      <c r="F30" s="29">
        <v>0.08</v>
      </c>
      <c r="G30" s="31" t="s">
        <v>139</v>
      </c>
      <c r="H30" s="32">
        <f t="shared" ref="H30:H31" si="20">+$H$28*F30</f>
        <v>168544.80000000002</v>
      </c>
      <c r="I30" s="25">
        <f>+H30*0.19</f>
        <v>32023.512000000002</v>
      </c>
      <c r="J30" s="25">
        <f>+IF(D30="Compra",-(H30+I30),(H30+I30))</f>
        <v>-200568.31200000003</v>
      </c>
      <c r="K30" s="169">
        <v>45209</v>
      </c>
      <c r="L30" s="26">
        <f>+E30+$L$3</f>
        <v>45230</v>
      </c>
      <c r="M30" s="26" t="s">
        <v>187</v>
      </c>
      <c r="N30" s="27"/>
      <c r="O30" s="26">
        <v>45210</v>
      </c>
      <c r="P30" s="25">
        <f t="shared" si="5"/>
        <v>41</v>
      </c>
      <c r="Q30" s="3"/>
      <c r="R30" s="27" t="s">
        <v>303</v>
      </c>
    </row>
    <row r="31" spans="1:19" x14ac:dyDescent="0.25">
      <c r="A31" s="1"/>
      <c r="B31" s="33" t="s">
        <v>24</v>
      </c>
      <c r="C31" s="34">
        <v>19253264</v>
      </c>
      <c r="D31" s="33" t="s">
        <v>26</v>
      </c>
      <c r="E31" s="35">
        <v>45209</v>
      </c>
      <c r="F31" s="36">
        <v>0.04</v>
      </c>
      <c r="G31" s="37" t="s">
        <v>139</v>
      </c>
      <c r="H31" s="38">
        <f t="shared" si="20"/>
        <v>84272.400000000009</v>
      </c>
      <c r="I31" s="39">
        <f t="shared" ref="I31" si="21">+H31*0.19</f>
        <v>16011.756000000001</v>
      </c>
      <c r="J31" s="39">
        <f t="shared" ref="J31:J33" si="22">+IF(D31="Compra",-(H31+I31),(H31+I31))</f>
        <v>-100284.15600000002</v>
      </c>
      <c r="K31" s="168">
        <v>45209</v>
      </c>
      <c r="L31" s="40">
        <f t="shared" ref="L31" si="23">+E31+$L$3</f>
        <v>45230</v>
      </c>
      <c r="M31" s="40" t="s">
        <v>187</v>
      </c>
      <c r="N31" s="41"/>
      <c r="O31" s="40">
        <v>45210</v>
      </c>
      <c r="P31" s="39">
        <f t="shared" si="5"/>
        <v>41</v>
      </c>
      <c r="Q31" s="7"/>
      <c r="R31" s="41" t="s">
        <v>303</v>
      </c>
    </row>
    <row r="32" spans="1:19" x14ac:dyDescent="0.25">
      <c r="A32" s="1"/>
      <c r="B32" s="21" t="s">
        <v>24</v>
      </c>
      <c r="C32" s="28">
        <v>949</v>
      </c>
      <c r="D32" s="21" t="s">
        <v>25</v>
      </c>
      <c r="E32" s="22">
        <v>45205</v>
      </c>
      <c r="F32" s="22"/>
      <c r="G32" s="23" t="s">
        <v>139</v>
      </c>
      <c r="H32" s="24">
        <v>34189096</v>
      </c>
      <c r="I32" s="25">
        <f>+H32*0.19</f>
        <v>6495928.2400000002</v>
      </c>
      <c r="J32" s="25">
        <f t="shared" si="22"/>
        <v>40685024.240000002</v>
      </c>
      <c r="K32" s="167">
        <v>45209</v>
      </c>
      <c r="L32" s="26">
        <f>+E32+$L$3</f>
        <v>45226</v>
      </c>
      <c r="M32" s="26" t="s">
        <v>187</v>
      </c>
      <c r="N32" s="27"/>
      <c r="O32" s="26">
        <v>45210</v>
      </c>
      <c r="P32" s="25">
        <f t="shared" si="5"/>
        <v>41</v>
      </c>
      <c r="Q32" s="27"/>
      <c r="R32" s="27" t="s">
        <v>303</v>
      </c>
      <c r="S32" s="19"/>
    </row>
    <row r="33" spans="1:19" x14ac:dyDescent="0.25">
      <c r="A33" s="1"/>
      <c r="B33" s="21" t="s">
        <v>24</v>
      </c>
      <c r="C33" s="28">
        <v>19252557</v>
      </c>
      <c r="D33" s="21" t="s">
        <v>26</v>
      </c>
      <c r="E33" s="22">
        <v>45209</v>
      </c>
      <c r="F33" s="29">
        <v>0.1</v>
      </c>
      <c r="G33" s="23" t="s">
        <v>139</v>
      </c>
      <c r="H33" s="30">
        <f>+$H$32*F33</f>
        <v>3418909.6</v>
      </c>
      <c r="I33" s="25">
        <f t="shared" ref="I33" si="24">+H33*0.19</f>
        <v>649592.82400000002</v>
      </c>
      <c r="J33" s="25">
        <f t="shared" si="22"/>
        <v>-4068502.4240000001</v>
      </c>
      <c r="K33" s="167">
        <v>45209</v>
      </c>
      <c r="L33" s="26">
        <f>+E33+$L$3</f>
        <v>45230</v>
      </c>
      <c r="M33" s="26" t="s">
        <v>187</v>
      </c>
      <c r="N33" s="27"/>
      <c r="O33" s="26">
        <v>45210</v>
      </c>
      <c r="P33" s="25">
        <f t="shared" si="5"/>
        <v>41</v>
      </c>
      <c r="Q33" s="27"/>
      <c r="R33" s="27" t="s">
        <v>303</v>
      </c>
    </row>
    <row r="34" spans="1:19" x14ac:dyDescent="0.25">
      <c r="A34" s="1"/>
      <c r="B34" s="21" t="s">
        <v>24</v>
      </c>
      <c r="C34" s="28">
        <v>19253779</v>
      </c>
      <c r="D34" s="21" t="s">
        <v>26</v>
      </c>
      <c r="E34" s="22">
        <v>45209</v>
      </c>
      <c r="F34" s="29">
        <v>0.08</v>
      </c>
      <c r="G34" s="31" t="s">
        <v>139</v>
      </c>
      <c r="H34" s="32">
        <f t="shared" ref="H34:H35" si="25">+$H$32*F34</f>
        <v>2735127.68</v>
      </c>
      <c r="I34" s="25">
        <f>+H34*0.19</f>
        <v>519674.25920000003</v>
      </c>
      <c r="J34" s="25">
        <f>+IF(D34="Compra",-(H34+I34),(H34+I34))</f>
        <v>-3254801.9392000004</v>
      </c>
      <c r="K34" s="169">
        <v>45209</v>
      </c>
      <c r="L34" s="26">
        <f>+E34+$L$3</f>
        <v>45230</v>
      </c>
      <c r="M34" s="26" t="s">
        <v>187</v>
      </c>
      <c r="N34" s="27"/>
      <c r="O34" s="26">
        <v>45210</v>
      </c>
      <c r="P34" s="25">
        <f t="shared" si="5"/>
        <v>41</v>
      </c>
      <c r="Q34" s="3"/>
      <c r="R34" s="27" t="s">
        <v>303</v>
      </c>
    </row>
    <row r="35" spans="1:19" x14ac:dyDescent="0.25">
      <c r="A35" s="1"/>
      <c r="B35" s="33" t="s">
        <v>24</v>
      </c>
      <c r="C35" s="34">
        <v>19253264</v>
      </c>
      <c r="D35" s="33" t="s">
        <v>26</v>
      </c>
      <c r="E35" s="35">
        <v>45209</v>
      </c>
      <c r="F35" s="36">
        <v>0.04</v>
      </c>
      <c r="G35" s="37" t="s">
        <v>139</v>
      </c>
      <c r="H35" s="38">
        <f t="shared" si="25"/>
        <v>1367563.84</v>
      </c>
      <c r="I35" s="39">
        <f t="shared" ref="I35" si="26">+H35*0.19</f>
        <v>259837.12960000001</v>
      </c>
      <c r="J35" s="39">
        <f t="shared" ref="J35:J37" si="27">+IF(D35="Compra",-(H35+I35),(H35+I35))</f>
        <v>-1627400.9696000002</v>
      </c>
      <c r="K35" s="168">
        <v>45209</v>
      </c>
      <c r="L35" s="40">
        <f t="shared" ref="L35" si="28">+E35+$L$3</f>
        <v>45230</v>
      </c>
      <c r="M35" s="40" t="s">
        <v>187</v>
      </c>
      <c r="N35" s="41"/>
      <c r="O35" s="40">
        <v>45210</v>
      </c>
      <c r="P35" s="39">
        <f t="shared" si="5"/>
        <v>41</v>
      </c>
      <c r="Q35" s="7"/>
      <c r="R35" s="41" t="s">
        <v>303</v>
      </c>
    </row>
    <row r="36" spans="1:19" x14ac:dyDescent="0.25">
      <c r="A36" s="1"/>
      <c r="B36" s="21" t="s">
        <v>24</v>
      </c>
      <c r="C36" s="28">
        <v>952</v>
      </c>
      <c r="D36" s="21" t="s">
        <v>25</v>
      </c>
      <c r="E36" s="22">
        <v>45209</v>
      </c>
      <c r="F36" s="22"/>
      <c r="G36" s="23" t="s">
        <v>139</v>
      </c>
      <c r="H36" s="24">
        <v>16793552</v>
      </c>
      <c r="I36" s="25">
        <f>+H36*0.19</f>
        <v>3190774.88</v>
      </c>
      <c r="J36" s="25">
        <f t="shared" si="27"/>
        <v>19984326.879999999</v>
      </c>
      <c r="K36" s="167">
        <v>45209</v>
      </c>
      <c r="L36" s="26">
        <f>+E36+$L$3</f>
        <v>45230</v>
      </c>
      <c r="M36" s="26" t="s">
        <v>187</v>
      </c>
      <c r="N36" s="27"/>
      <c r="O36" s="26">
        <v>45210</v>
      </c>
      <c r="P36" s="25">
        <f t="shared" si="5"/>
        <v>41</v>
      </c>
      <c r="Q36" s="27"/>
      <c r="R36" s="27" t="s">
        <v>303</v>
      </c>
      <c r="S36" s="19"/>
    </row>
    <row r="37" spans="1:19" x14ac:dyDescent="0.25">
      <c r="A37" s="1"/>
      <c r="B37" s="21" t="s">
        <v>24</v>
      </c>
      <c r="C37" s="28">
        <v>19257145</v>
      </c>
      <c r="D37" s="21" t="s">
        <v>26</v>
      </c>
      <c r="E37" s="22">
        <v>45214</v>
      </c>
      <c r="F37" s="29">
        <v>0.1</v>
      </c>
      <c r="G37" s="23" t="s">
        <v>139</v>
      </c>
      <c r="H37" s="30">
        <f>+$H$36*F37</f>
        <v>1679355.2000000002</v>
      </c>
      <c r="I37" s="25">
        <f t="shared" ref="I37" si="29">+H37*0.19</f>
        <v>319077.48800000001</v>
      </c>
      <c r="J37" s="25">
        <f t="shared" si="27"/>
        <v>-1998432.6880000001</v>
      </c>
      <c r="K37" s="167">
        <v>45216</v>
      </c>
      <c r="L37" s="26">
        <f>+E37+$L$3</f>
        <v>45235</v>
      </c>
      <c r="M37" s="26" t="s">
        <v>209</v>
      </c>
      <c r="N37" s="27"/>
      <c r="O37" s="26">
        <v>45217</v>
      </c>
      <c r="P37" s="25">
        <f t="shared" si="5"/>
        <v>42</v>
      </c>
      <c r="Q37" s="27"/>
      <c r="R37" s="27" t="s">
        <v>303</v>
      </c>
    </row>
    <row r="38" spans="1:19" x14ac:dyDescent="0.25">
      <c r="A38" s="1"/>
      <c r="B38" s="21" t="s">
        <v>24</v>
      </c>
      <c r="C38" s="28">
        <v>19258349</v>
      </c>
      <c r="D38" s="21" t="s">
        <v>26</v>
      </c>
      <c r="E38" s="22">
        <v>45214</v>
      </c>
      <c r="F38" s="29">
        <v>0.08</v>
      </c>
      <c r="G38" s="31" t="s">
        <v>139</v>
      </c>
      <c r="H38" s="32">
        <f t="shared" ref="H38:H39" si="30">+$H$36*F38</f>
        <v>1343484.16</v>
      </c>
      <c r="I38" s="25">
        <f>+H38*0.19</f>
        <v>255261.99039999998</v>
      </c>
      <c r="J38" s="25">
        <f>+IF(D38="Compra",-(H38+I38),(H38+I38))</f>
        <v>-1598746.1503999999</v>
      </c>
      <c r="K38" s="167">
        <v>45216</v>
      </c>
      <c r="L38" s="26">
        <f>+E38+$L$3</f>
        <v>45235</v>
      </c>
      <c r="M38" s="26" t="s">
        <v>209</v>
      </c>
      <c r="N38" s="27"/>
      <c r="O38" s="26">
        <v>45217</v>
      </c>
      <c r="P38" s="25">
        <f t="shared" si="5"/>
        <v>42</v>
      </c>
      <c r="Q38" s="3"/>
      <c r="R38" s="27" t="s">
        <v>303</v>
      </c>
    </row>
    <row r="39" spans="1:19" x14ac:dyDescent="0.25">
      <c r="A39" s="1"/>
      <c r="B39" s="33" t="s">
        <v>24</v>
      </c>
      <c r="C39" s="34">
        <v>19257865</v>
      </c>
      <c r="D39" s="33" t="s">
        <v>26</v>
      </c>
      <c r="E39" s="35">
        <v>45214</v>
      </c>
      <c r="F39" s="36">
        <v>0.04</v>
      </c>
      <c r="G39" s="37" t="s">
        <v>139</v>
      </c>
      <c r="H39" s="38">
        <f t="shared" si="30"/>
        <v>671742.08</v>
      </c>
      <c r="I39" s="39">
        <f t="shared" ref="I39" si="31">+H39*0.19</f>
        <v>127630.99519999999</v>
      </c>
      <c r="J39" s="39">
        <f t="shared" ref="J39:J41" si="32">+IF(D39="Compra",-(H39+I39),(H39+I39))</f>
        <v>-799373.07519999996</v>
      </c>
      <c r="K39" s="168">
        <v>45216</v>
      </c>
      <c r="L39" s="40">
        <f t="shared" ref="L39" si="33">+E39+$L$3</f>
        <v>45235</v>
      </c>
      <c r="M39" s="40" t="s">
        <v>209</v>
      </c>
      <c r="N39" s="41"/>
      <c r="O39" s="40">
        <v>45217</v>
      </c>
      <c r="P39" s="39">
        <f t="shared" si="5"/>
        <v>42</v>
      </c>
      <c r="Q39" s="7"/>
      <c r="R39" s="41" t="s">
        <v>303</v>
      </c>
    </row>
    <row r="40" spans="1:19" x14ac:dyDescent="0.25">
      <c r="A40" s="1"/>
      <c r="B40" s="21" t="s">
        <v>24</v>
      </c>
      <c r="C40" s="28">
        <v>973</v>
      </c>
      <c r="D40" s="21" t="s">
        <v>25</v>
      </c>
      <c r="E40" s="22">
        <v>45215</v>
      </c>
      <c r="F40" s="22"/>
      <c r="G40" s="23" t="s">
        <v>139</v>
      </c>
      <c r="H40" s="24">
        <v>25372928</v>
      </c>
      <c r="I40" s="25">
        <f>+H40*0.19</f>
        <v>4820856.32</v>
      </c>
      <c r="J40" s="25">
        <f t="shared" si="32"/>
        <v>30193784.32</v>
      </c>
      <c r="K40" s="167">
        <v>45215</v>
      </c>
      <c r="L40" s="26">
        <f>+E40+$L$3</f>
        <v>45236</v>
      </c>
      <c r="M40" s="26" t="s">
        <v>209</v>
      </c>
      <c r="N40" s="27"/>
      <c r="O40" s="26">
        <v>45217</v>
      </c>
      <c r="P40" s="25">
        <f t="shared" si="5"/>
        <v>42</v>
      </c>
      <c r="Q40" s="27"/>
      <c r="R40" s="27" t="s">
        <v>303</v>
      </c>
      <c r="S40" s="19"/>
    </row>
    <row r="41" spans="1:19" x14ac:dyDescent="0.25">
      <c r="A41" s="1"/>
      <c r="B41" s="21" t="s">
        <v>24</v>
      </c>
      <c r="C41" s="28">
        <v>19257145</v>
      </c>
      <c r="D41" s="21" t="s">
        <v>26</v>
      </c>
      <c r="E41" s="22">
        <v>45214</v>
      </c>
      <c r="F41" s="29">
        <v>0.1</v>
      </c>
      <c r="G41" s="23" t="s">
        <v>139</v>
      </c>
      <c r="H41" s="30">
        <f>+$H$40*F41</f>
        <v>2537292.8000000003</v>
      </c>
      <c r="I41" s="25">
        <f t="shared" ref="I41" si="34">+H41*0.19</f>
        <v>482085.63200000004</v>
      </c>
      <c r="J41" s="25">
        <f t="shared" si="32"/>
        <v>-3019378.4320000005</v>
      </c>
      <c r="K41" s="167">
        <v>45216</v>
      </c>
      <c r="L41" s="26">
        <f>+E41+$L$3</f>
        <v>45235</v>
      </c>
      <c r="M41" s="26" t="s">
        <v>209</v>
      </c>
      <c r="N41" s="27"/>
      <c r="O41" s="26">
        <v>45217</v>
      </c>
      <c r="P41" s="25">
        <f t="shared" si="5"/>
        <v>42</v>
      </c>
      <c r="Q41" s="27"/>
      <c r="R41" s="27" t="s">
        <v>303</v>
      </c>
    </row>
    <row r="42" spans="1:19" x14ac:dyDescent="0.25">
      <c r="A42" s="1"/>
      <c r="B42" s="21" t="s">
        <v>24</v>
      </c>
      <c r="C42" s="28">
        <v>19258349</v>
      </c>
      <c r="D42" s="21" t="s">
        <v>26</v>
      </c>
      <c r="E42" s="22">
        <v>45214</v>
      </c>
      <c r="F42" s="29">
        <v>0.08</v>
      </c>
      <c r="G42" s="31" t="s">
        <v>139</v>
      </c>
      <c r="H42" s="32">
        <f t="shared" ref="H42:H43" si="35">+$H$40*F42</f>
        <v>2029834.24</v>
      </c>
      <c r="I42" s="25">
        <f>+H42*0.19</f>
        <v>385668.50559999997</v>
      </c>
      <c r="J42" s="25">
        <f>+IF(D42="Compra",-(H42+I42),(H42+I42))</f>
        <v>-2415502.7456</v>
      </c>
      <c r="K42" s="167">
        <v>45216</v>
      </c>
      <c r="L42" s="26">
        <f>+E42+$L$3</f>
        <v>45235</v>
      </c>
      <c r="M42" s="26" t="s">
        <v>209</v>
      </c>
      <c r="N42" s="27"/>
      <c r="O42" s="26">
        <v>45217</v>
      </c>
      <c r="P42" s="25">
        <f t="shared" si="5"/>
        <v>42</v>
      </c>
      <c r="Q42" s="3"/>
      <c r="R42" s="27" t="s">
        <v>303</v>
      </c>
    </row>
    <row r="43" spans="1:19" x14ac:dyDescent="0.25">
      <c r="A43" s="1"/>
      <c r="B43" s="33" t="s">
        <v>24</v>
      </c>
      <c r="C43" s="34">
        <v>19257865</v>
      </c>
      <c r="D43" s="33" t="s">
        <v>26</v>
      </c>
      <c r="E43" s="35">
        <v>45214</v>
      </c>
      <c r="F43" s="36">
        <v>0.04</v>
      </c>
      <c r="G43" s="37" t="s">
        <v>139</v>
      </c>
      <c r="H43" s="38">
        <f t="shared" si="35"/>
        <v>1014917.12</v>
      </c>
      <c r="I43" s="39">
        <f t="shared" ref="I43" si="36">+H43*0.19</f>
        <v>192834.25279999999</v>
      </c>
      <c r="J43" s="39">
        <f t="shared" ref="J43:J45" si="37">+IF(D43="Compra",-(H43+I43),(H43+I43))</f>
        <v>-1207751.3728</v>
      </c>
      <c r="K43" s="168">
        <v>45216</v>
      </c>
      <c r="L43" s="40">
        <f t="shared" ref="L43" si="38">+E43+$L$3</f>
        <v>45235</v>
      </c>
      <c r="M43" s="40" t="s">
        <v>209</v>
      </c>
      <c r="N43" s="41"/>
      <c r="O43" s="40">
        <v>45217</v>
      </c>
      <c r="P43" s="39">
        <f t="shared" si="5"/>
        <v>42</v>
      </c>
      <c r="Q43" s="7"/>
      <c r="R43" s="41" t="s">
        <v>303</v>
      </c>
    </row>
    <row r="44" spans="1:19" x14ac:dyDescent="0.25">
      <c r="A44" s="1"/>
      <c r="B44" s="21" t="s">
        <v>24</v>
      </c>
      <c r="C44" s="28">
        <v>976</v>
      </c>
      <c r="D44" s="21" t="s">
        <v>25</v>
      </c>
      <c r="E44" s="22">
        <v>45215</v>
      </c>
      <c r="F44" s="22"/>
      <c r="G44" s="23" t="s">
        <v>139</v>
      </c>
      <c r="H44" s="24">
        <v>39281220</v>
      </c>
      <c r="I44" s="25">
        <f>+H44*0.19</f>
        <v>7463431.7999999998</v>
      </c>
      <c r="J44" s="25">
        <f t="shared" si="37"/>
        <v>46744651.799999997</v>
      </c>
      <c r="K44" s="167">
        <v>45217</v>
      </c>
      <c r="L44" s="26">
        <f>+E44+$L$3</f>
        <v>45236</v>
      </c>
      <c r="M44" s="26" t="s">
        <v>209</v>
      </c>
      <c r="N44" s="27"/>
      <c r="O44" s="26">
        <v>45217</v>
      </c>
      <c r="P44" s="25">
        <f t="shared" si="5"/>
        <v>42</v>
      </c>
      <c r="Q44" s="27"/>
      <c r="R44" s="27" t="s">
        <v>303</v>
      </c>
      <c r="S44" s="19"/>
    </row>
    <row r="45" spans="1:19" x14ac:dyDescent="0.25">
      <c r="A45" s="1"/>
      <c r="B45" s="21" t="s">
        <v>24</v>
      </c>
      <c r="C45" s="28">
        <v>19259972</v>
      </c>
      <c r="D45" s="21" t="s">
        <v>26</v>
      </c>
      <c r="E45" s="22">
        <v>45221</v>
      </c>
      <c r="F45" s="29">
        <v>0.1</v>
      </c>
      <c r="G45" s="23" t="s">
        <v>139</v>
      </c>
      <c r="H45" s="30">
        <f>+$H$44*F45</f>
        <v>3928122</v>
      </c>
      <c r="I45" s="25">
        <f t="shared" ref="I45" si="39">+H45*0.19</f>
        <v>746343.18</v>
      </c>
      <c r="J45" s="25">
        <f t="shared" si="37"/>
        <v>-4674465.18</v>
      </c>
      <c r="K45" s="167">
        <v>45223</v>
      </c>
      <c r="L45" s="26">
        <f>+E45+$L$3</f>
        <v>45242</v>
      </c>
      <c r="M45" s="26" t="s">
        <v>320</v>
      </c>
      <c r="N45" s="27"/>
      <c r="O45" s="26"/>
      <c r="P45" s="25"/>
      <c r="Q45" s="27"/>
      <c r="R45" s="27"/>
    </row>
    <row r="46" spans="1:19" x14ac:dyDescent="0.25">
      <c r="A46" s="1"/>
      <c r="B46" s="21" t="s">
        <v>24</v>
      </c>
      <c r="C46" s="28">
        <v>19262024</v>
      </c>
      <c r="D46" s="21" t="s">
        <v>26</v>
      </c>
      <c r="E46" s="22">
        <v>45221</v>
      </c>
      <c r="F46" s="29">
        <v>0.08</v>
      </c>
      <c r="G46" s="31" t="s">
        <v>139</v>
      </c>
      <c r="H46" s="32">
        <f t="shared" ref="H46:H47" si="40">+$H$44*F46</f>
        <v>3142497.6</v>
      </c>
      <c r="I46" s="25">
        <f>+H46*0.19</f>
        <v>597074.54399999999</v>
      </c>
      <c r="J46" s="25">
        <f>+IF(D46="Compra",-(H46+I46),(H46+I46))</f>
        <v>-3739572.1440000003</v>
      </c>
      <c r="K46" s="169">
        <v>45223</v>
      </c>
      <c r="L46" s="26">
        <f>+E46+$L$3</f>
        <v>45242</v>
      </c>
      <c r="M46" s="26" t="s">
        <v>320</v>
      </c>
      <c r="N46" s="27"/>
      <c r="O46" s="26"/>
      <c r="P46" s="25"/>
      <c r="Q46" s="3"/>
      <c r="R46" s="3"/>
    </row>
    <row r="47" spans="1:19" x14ac:dyDescent="0.25">
      <c r="A47" s="1"/>
      <c r="B47" s="33" t="s">
        <v>24</v>
      </c>
      <c r="C47" s="34">
        <v>19261567</v>
      </c>
      <c r="D47" s="33" t="s">
        <v>26</v>
      </c>
      <c r="E47" s="35">
        <v>45221</v>
      </c>
      <c r="F47" s="36">
        <v>0.04</v>
      </c>
      <c r="G47" s="37" t="s">
        <v>139</v>
      </c>
      <c r="H47" s="38">
        <f t="shared" si="40"/>
        <v>1571248.8</v>
      </c>
      <c r="I47" s="39">
        <f t="shared" ref="I47" si="41">+H47*0.19</f>
        <v>298537.272</v>
      </c>
      <c r="J47" s="39">
        <f t="shared" ref="J47:J49" si="42">+IF(D47="Compra",-(H47+I47),(H47+I47))</f>
        <v>-1869786.0720000002</v>
      </c>
      <c r="K47" s="168">
        <v>45223</v>
      </c>
      <c r="L47" s="40">
        <f t="shared" ref="L47" si="43">+E47+$L$3</f>
        <v>45242</v>
      </c>
      <c r="M47" s="40" t="s">
        <v>320</v>
      </c>
      <c r="N47" s="41"/>
      <c r="O47" s="40"/>
      <c r="P47" s="39"/>
      <c r="Q47" s="7"/>
      <c r="R47" s="7"/>
    </row>
    <row r="48" spans="1:19" x14ac:dyDescent="0.25">
      <c r="A48" s="1"/>
      <c r="B48" s="21" t="s">
        <v>24</v>
      </c>
      <c r="C48" s="28">
        <v>977</v>
      </c>
      <c r="D48" s="21" t="s">
        <v>25</v>
      </c>
      <c r="E48" s="22">
        <v>45215</v>
      </c>
      <c r="F48" s="22"/>
      <c r="G48" s="23" t="s">
        <v>139</v>
      </c>
      <c r="H48" s="24">
        <v>20621238</v>
      </c>
      <c r="I48" s="25">
        <f>+H48*0.19</f>
        <v>3918035.22</v>
      </c>
      <c r="J48" s="25">
        <f t="shared" si="42"/>
        <v>24539273.219999999</v>
      </c>
      <c r="K48" s="167">
        <v>45217</v>
      </c>
      <c r="L48" s="26">
        <f>+E48+$L$3</f>
        <v>45236</v>
      </c>
      <c r="M48" s="26" t="s">
        <v>209</v>
      </c>
      <c r="N48" s="27"/>
      <c r="O48" s="26">
        <v>45217</v>
      </c>
      <c r="P48" s="25">
        <f>+WEEKNUM(O48,21)</f>
        <v>42</v>
      </c>
      <c r="Q48" s="27"/>
      <c r="R48" s="27" t="s">
        <v>303</v>
      </c>
      <c r="S48" s="19"/>
    </row>
    <row r="49" spans="1:19" x14ac:dyDescent="0.25">
      <c r="A49" s="1"/>
      <c r="B49" s="21" t="s">
        <v>24</v>
      </c>
      <c r="C49" s="28">
        <v>19259972</v>
      </c>
      <c r="D49" s="21" t="s">
        <v>26</v>
      </c>
      <c r="E49" s="22">
        <v>45221</v>
      </c>
      <c r="F49" s="29">
        <v>0.1</v>
      </c>
      <c r="G49" s="23" t="s">
        <v>139</v>
      </c>
      <c r="H49" s="30">
        <f>+$H$48*F49</f>
        <v>2062123.8</v>
      </c>
      <c r="I49" s="25">
        <f t="shared" ref="I49" si="44">+H49*0.19</f>
        <v>391803.522</v>
      </c>
      <c r="J49" s="25">
        <f t="shared" si="42"/>
        <v>-2453927.3220000002</v>
      </c>
      <c r="K49" s="167">
        <v>45223</v>
      </c>
      <c r="L49" s="26">
        <f>+E49+$L$3</f>
        <v>45242</v>
      </c>
      <c r="M49" s="26" t="s">
        <v>320</v>
      </c>
      <c r="N49" s="27"/>
      <c r="O49" s="26"/>
      <c r="P49" s="25"/>
      <c r="Q49" s="27"/>
      <c r="R49" s="27"/>
    </row>
    <row r="50" spans="1:19" x14ac:dyDescent="0.25">
      <c r="A50" s="1"/>
      <c r="B50" s="21" t="s">
        <v>24</v>
      </c>
      <c r="C50" s="28">
        <v>19262024</v>
      </c>
      <c r="D50" s="21" t="s">
        <v>26</v>
      </c>
      <c r="E50" s="22">
        <v>45221</v>
      </c>
      <c r="F50" s="29">
        <v>0.08</v>
      </c>
      <c r="G50" s="31" t="s">
        <v>139</v>
      </c>
      <c r="H50" s="32">
        <f t="shared" ref="H50:H51" si="45">+$H$48*F50</f>
        <v>1649699.04</v>
      </c>
      <c r="I50" s="25">
        <f>+H50*0.19</f>
        <v>313442.81760000001</v>
      </c>
      <c r="J50" s="25">
        <f>+IF(D50="Compra",-(H50+I50),(H50+I50))</f>
        <v>-1963141.8576</v>
      </c>
      <c r="K50" s="169">
        <v>45223</v>
      </c>
      <c r="L50" s="26">
        <f>+E50+$L$3</f>
        <v>45242</v>
      </c>
      <c r="M50" s="26" t="s">
        <v>320</v>
      </c>
      <c r="N50" s="27"/>
      <c r="O50" s="26"/>
      <c r="P50" s="25"/>
      <c r="Q50" s="3"/>
      <c r="R50" s="3"/>
    </row>
    <row r="51" spans="1:19" x14ac:dyDescent="0.25">
      <c r="A51" s="1"/>
      <c r="B51" s="33" t="s">
        <v>24</v>
      </c>
      <c r="C51" s="34">
        <v>19261567</v>
      </c>
      <c r="D51" s="33" t="s">
        <v>26</v>
      </c>
      <c r="E51" s="35">
        <v>45221</v>
      </c>
      <c r="F51" s="36">
        <v>0.04</v>
      </c>
      <c r="G51" s="37" t="s">
        <v>139</v>
      </c>
      <c r="H51" s="38">
        <f t="shared" si="45"/>
        <v>824849.52</v>
      </c>
      <c r="I51" s="39">
        <f t="shared" ref="I51" si="46">+H51*0.19</f>
        <v>156721.4088</v>
      </c>
      <c r="J51" s="39">
        <f t="shared" ref="J51:J53" si="47">+IF(D51="Compra",-(H51+I51),(H51+I51))</f>
        <v>-981570.92879999999</v>
      </c>
      <c r="K51" s="168">
        <v>45223</v>
      </c>
      <c r="L51" s="40">
        <f t="shared" ref="L51" si="48">+E51+$L$3</f>
        <v>45242</v>
      </c>
      <c r="M51" s="40" t="s">
        <v>320</v>
      </c>
      <c r="N51" s="41"/>
      <c r="O51" s="40"/>
      <c r="P51" s="39"/>
      <c r="Q51" s="7"/>
      <c r="R51" s="7"/>
    </row>
    <row r="52" spans="1:19" x14ac:dyDescent="0.25">
      <c r="A52" s="1"/>
      <c r="B52" s="21" t="s">
        <v>24</v>
      </c>
      <c r="C52" s="28">
        <v>980</v>
      </c>
      <c r="D52" s="21" t="s">
        <v>25</v>
      </c>
      <c r="E52" s="22">
        <v>45216</v>
      </c>
      <c r="F52" s="22"/>
      <c r="G52" s="23" t="s">
        <v>139</v>
      </c>
      <c r="H52" s="24">
        <v>23287620</v>
      </c>
      <c r="I52" s="25">
        <f>+H52*0.19</f>
        <v>4424647.8</v>
      </c>
      <c r="J52" s="25">
        <f t="shared" si="47"/>
        <v>27712267.800000001</v>
      </c>
      <c r="K52" s="167">
        <v>45218</v>
      </c>
      <c r="L52" s="26">
        <f>+E52+$L$3</f>
        <v>45237</v>
      </c>
      <c r="M52" s="26" t="s">
        <v>302</v>
      </c>
      <c r="N52" s="27"/>
      <c r="O52" s="26">
        <v>45240</v>
      </c>
      <c r="P52" s="25">
        <f>+WEEKNUM(O52,21)</f>
        <v>45</v>
      </c>
      <c r="Q52" s="27"/>
      <c r="R52" s="27" t="s">
        <v>303</v>
      </c>
      <c r="S52" s="19"/>
    </row>
    <row r="53" spans="1:19" x14ac:dyDescent="0.25">
      <c r="A53" s="1"/>
      <c r="B53" s="21" t="s">
        <v>24</v>
      </c>
      <c r="C53" s="28">
        <v>19259972</v>
      </c>
      <c r="D53" s="21" t="s">
        <v>26</v>
      </c>
      <c r="E53" s="22">
        <v>45221</v>
      </c>
      <c r="F53" s="29">
        <v>0.1</v>
      </c>
      <c r="G53" s="23" t="s">
        <v>139</v>
      </c>
      <c r="H53" s="30">
        <f>+$H$52*F53</f>
        <v>2328762</v>
      </c>
      <c r="I53" s="25">
        <f t="shared" ref="I53" si="49">+H53*0.19</f>
        <v>442464.78</v>
      </c>
      <c r="J53" s="25">
        <f t="shared" si="47"/>
        <v>-2771226.7800000003</v>
      </c>
      <c r="K53" s="167">
        <v>45223</v>
      </c>
      <c r="L53" s="26">
        <f>+E53+$L$3</f>
        <v>45242</v>
      </c>
      <c r="M53" s="26" t="s">
        <v>320</v>
      </c>
      <c r="N53" s="27"/>
      <c r="O53" s="26"/>
      <c r="P53" s="25"/>
      <c r="Q53" s="27"/>
      <c r="R53" s="27"/>
    </row>
    <row r="54" spans="1:19" x14ac:dyDescent="0.25">
      <c r="A54" s="1"/>
      <c r="B54" s="21" t="s">
        <v>24</v>
      </c>
      <c r="C54" s="28">
        <v>19262024</v>
      </c>
      <c r="D54" s="21" t="s">
        <v>26</v>
      </c>
      <c r="E54" s="22">
        <v>45221</v>
      </c>
      <c r="F54" s="29">
        <v>0.08</v>
      </c>
      <c r="G54" s="31" t="s">
        <v>139</v>
      </c>
      <c r="H54" s="32">
        <f t="shared" ref="H54:H55" si="50">+$H$52*F54</f>
        <v>1863009.6</v>
      </c>
      <c r="I54" s="25">
        <f>+H54*0.19</f>
        <v>353971.82400000002</v>
      </c>
      <c r="J54" s="25">
        <f>+IF(D54="Compra",-(H54+I54),(H54+I54))</f>
        <v>-2216981.4240000001</v>
      </c>
      <c r="K54" s="169">
        <v>45223</v>
      </c>
      <c r="L54" s="26">
        <f>+E54+$L$3</f>
        <v>45242</v>
      </c>
      <c r="M54" s="26" t="s">
        <v>320</v>
      </c>
      <c r="N54" s="27"/>
      <c r="O54" s="26"/>
      <c r="P54" s="25"/>
      <c r="Q54" s="3"/>
      <c r="R54" s="3"/>
    </row>
    <row r="55" spans="1:19" x14ac:dyDescent="0.25">
      <c r="A55" s="1"/>
      <c r="B55" s="33" t="s">
        <v>24</v>
      </c>
      <c r="C55" s="34">
        <v>19261567</v>
      </c>
      <c r="D55" s="33" t="s">
        <v>26</v>
      </c>
      <c r="E55" s="35">
        <v>45221</v>
      </c>
      <c r="F55" s="36">
        <v>0.04</v>
      </c>
      <c r="G55" s="37" t="s">
        <v>139</v>
      </c>
      <c r="H55" s="38">
        <f t="shared" si="50"/>
        <v>931504.8</v>
      </c>
      <c r="I55" s="39">
        <f t="shared" ref="I55" si="51">+H55*0.19</f>
        <v>176985.91200000001</v>
      </c>
      <c r="J55" s="39">
        <f t="shared" ref="J55:J57" si="52">+IF(D55="Compra",-(H55+I55),(H55+I55))</f>
        <v>-1108490.7120000001</v>
      </c>
      <c r="K55" s="168">
        <v>45223</v>
      </c>
      <c r="L55" s="40">
        <f t="shared" ref="L55" si="53">+E55+$L$3</f>
        <v>45242</v>
      </c>
      <c r="M55" s="40" t="s">
        <v>320</v>
      </c>
      <c r="N55" s="41"/>
      <c r="O55" s="40"/>
      <c r="P55" s="39"/>
      <c r="Q55" s="7"/>
      <c r="R55" s="7"/>
    </row>
    <row r="56" spans="1:19" x14ac:dyDescent="0.25">
      <c r="A56" s="1"/>
      <c r="B56" s="21" t="s">
        <v>24</v>
      </c>
      <c r="C56" s="28">
        <v>986</v>
      </c>
      <c r="D56" s="21" t="s">
        <v>25</v>
      </c>
      <c r="E56" s="22">
        <v>45218</v>
      </c>
      <c r="F56" s="22"/>
      <c r="G56" s="23" t="s">
        <v>139</v>
      </c>
      <c r="H56" s="24">
        <v>12772544</v>
      </c>
      <c r="I56" s="25">
        <f>+H56*0.19</f>
        <v>2426783.36</v>
      </c>
      <c r="J56" s="25">
        <f t="shared" si="52"/>
        <v>15199327.359999999</v>
      </c>
      <c r="K56" s="167">
        <v>45220</v>
      </c>
      <c r="L56" s="26">
        <f>+E56+$L$3</f>
        <v>45239</v>
      </c>
      <c r="M56" s="26" t="s">
        <v>302</v>
      </c>
      <c r="N56" s="27"/>
      <c r="O56" s="26">
        <v>45240</v>
      </c>
      <c r="P56" s="25">
        <f>+WEEKNUM(O56,21)</f>
        <v>45</v>
      </c>
      <c r="Q56" s="27"/>
      <c r="R56" s="27" t="s">
        <v>303</v>
      </c>
      <c r="S56" s="19"/>
    </row>
    <row r="57" spans="1:19" x14ac:dyDescent="0.25">
      <c r="A57" s="1"/>
      <c r="B57" s="21" t="s">
        <v>24</v>
      </c>
      <c r="C57" s="28">
        <v>19259972</v>
      </c>
      <c r="D57" s="21" t="s">
        <v>26</v>
      </c>
      <c r="E57" s="22">
        <v>45221</v>
      </c>
      <c r="F57" s="29">
        <v>0.1</v>
      </c>
      <c r="G57" s="23" t="s">
        <v>139</v>
      </c>
      <c r="H57" s="30">
        <f>+$H$56*F57</f>
        <v>1277254.4000000001</v>
      </c>
      <c r="I57" s="25">
        <f t="shared" ref="I57" si="54">+H57*0.19</f>
        <v>242678.33600000004</v>
      </c>
      <c r="J57" s="25">
        <f t="shared" si="52"/>
        <v>-1519932.7360000003</v>
      </c>
      <c r="K57" s="167">
        <v>45223</v>
      </c>
      <c r="L57" s="26">
        <f>+E57+$L$3</f>
        <v>45242</v>
      </c>
      <c r="M57" s="26" t="s">
        <v>320</v>
      </c>
      <c r="N57" s="27"/>
      <c r="O57" s="26"/>
      <c r="P57" s="25"/>
      <c r="Q57" s="27"/>
      <c r="R57" s="27"/>
    </row>
    <row r="58" spans="1:19" x14ac:dyDescent="0.25">
      <c r="A58" s="1"/>
      <c r="B58" s="21" t="s">
        <v>24</v>
      </c>
      <c r="C58" s="28">
        <v>19262024</v>
      </c>
      <c r="D58" s="21" t="s">
        <v>26</v>
      </c>
      <c r="E58" s="22">
        <v>45221</v>
      </c>
      <c r="F58" s="29">
        <v>0.08</v>
      </c>
      <c r="G58" s="31" t="s">
        <v>139</v>
      </c>
      <c r="H58" s="32">
        <f t="shared" ref="H58:H59" si="55">+$H$56*F58</f>
        <v>1021803.52</v>
      </c>
      <c r="I58" s="25">
        <f>+H58*0.19</f>
        <v>194142.66880000001</v>
      </c>
      <c r="J58" s="25">
        <f>+IF(D58="Compra",-(H58+I58),(H58+I58))</f>
        <v>-1215946.1888000001</v>
      </c>
      <c r="K58" s="169">
        <v>45223</v>
      </c>
      <c r="L58" s="26">
        <f>+E58+$L$3</f>
        <v>45242</v>
      </c>
      <c r="M58" s="26" t="s">
        <v>320</v>
      </c>
      <c r="N58" s="27"/>
      <c r="O58" s="26"/>
      <c r="P58" s="25"/>
      <c r="Q58" s="3"/>
      <c r="R58" s="3"/>
    </row>
    <row r="59" spans="1:19" x14ac:dyDescent="0.25">
      <c r="A59" s="1"/>
      <c r="B59" s="33" t="s">
        <v>24</v>
      </c>
      <c r="C59" s="34">
        <v>19261567</v>
      </c>
      <c r="D59" s="33" t="s">
        <v>26</v>
      </c>
      <c r="E59" s="35">
        <v>45221</v>
      </c>
      <c r="F59" s="36">
        <v>0.04</v>
      </c>
      <c r="G59" s="37" t="s">
        <v>139</v>
      </c>
      <c r="H59" s="38">
        <f t="shared" si="55"/>
        <v>510901.76000000001</v>
      </c>
      <c r="I59" s="39">
        <f t="shared" ref="I59" si="56">+H59*0.19</f>
        <v>97071.334400000007</v>
      </c>
      <c r="J59" s="39">
        <f t="shared" ref="J59:J61" si="57">+IF(D59="Compra",-(H59+I59),(H59+I59))</f>
        <v>-607973.09440000006</v>
      </c>
      <c r="K59" s="168">
        <v>45223</v>
      </c>
      <c r="L59" s="40">
        <f t="shared" ref="L59" si="58">+E59+$L$3</f>
        <v>45242</v>
      </c>
      <c r="M59" s="40" t="s">
        <v>320</v>
      </c>
      <c r="N59" s="41"/>
      <c r="O59" s="40"/>
      <c r="P59" s="39"/>
      <c r="Q59" s="7"/>
      <c r="R59" s="7"/>
    </row>
    <row r="60" spans="1:19" x14ac:dyDescent="0.25">
      <c r="A60" s="1"/>
      <c r="B60" s="21" t="s">
        <v>24</v>
      </c>
      <c r="C60" s="28">
        <v>991</v>
      </c>
      <c r="D60" s="21" t="s">
        <v>25</v>
      </c>
      <c r="E60" s="22">
        <v>45219</v>
      </c>
      <c r="F60" s="22"/>
      <c r="G60" s="23" t="s">
        <v>139</v>
      </c>
      <c r="H60" s="24">
        <v>1726800</v>
      </c>
      <c r="I60" s="25">
        <f>+H60*0.19</f>
        <v>328092</v>
      </c>
      <c r="J60" s="25">
        <f t="shared" si="57"/>
        <v>2054892</v>
      </c>
      <c r="K60" s="167">
        <v>45222</v>
      </c>
      <c r="L60" s="26">
        <f>+E60+$L$3</f>
        <v>45240</v>
      </c>
      <c r="M60" s="26" t="s">
        <v>302</v>
      </c>
      <c r="N60" s="27"/>
      <c r="O60" s="26">
        <v>45240</v>
      </c>
      <c r="P60" s="25">
        <f>+WEEKNUM(O60,21)</f>
        <v>45</v>
      </c>
      <c r="Q60" s="27"/>
      <c r="R60" s="27" t="s">
        <v>303</v>
      </c>
      <c r="S60" s="19"/>
    </row>
    <row r="61" spans="1:19" x14ac:dyDescent="0.25">
      <c r="A61" s="1"/>
      <c r="B61" s="21" t="s">
        <v>24</v>
      </c>
      <c r="C61" s="181"/>
      <c r="D61" s="21" t="s">
        <v>26</v>
      </c>
      <c r="E61" s="22"/>
      <c r="F61" s="29">
        <v>0.1</v>
      </c>
      <c r="G61" s="23"/>
      <c r="H61" s="30">
        <f>+$H$60*F61</f>
        <v>172680</v>
      </c>
      <c r="I61" s="25">
        <f t="shared" ref="I61" si="59">+H61*0.19</f>
        <v>32809.199999999997</v>
      </c>
      <c r="J61" s="25">
        <f t="shared" si="57"/>
        <v>-205489.2</v>
      </c>
      <c r="K61" s="25"/>
      <c r="L61" s="26">
        <f>+E61+$L$3</f>
        <v>21</v>
      </c>
      <c r="M61" s="26" t="s">
        <v>138</v>
      </c>
      <c r="N61" s="27"/>
      <c r="O61" s="26"/>
      <c r="P61" s="25"/>
      <c r="Q61" s="27"/>
      <c r="R61" s="27"/>
    </row>
    <row r="62" spans="1:19" x14ac:dyDescent="0.25">
      <c r="A62" s="1" t="s">
        <v>262</v>
      </c>
      <c r="B62" s="21" t="s">
        <v>24</v>
      </c>
      <c r="C62" s="28">
        <v>19262025</v>
      </c>
      <c r="D62" s="21" t="s">
        <v>26</v>
      </c>
      <c r="E62" s="22">
        <v>45221</v>
      </c>
      <c r="F62" s="29">
        <v>0.08</v>
      </c>
      <c r="G62" s="31" t="s">
        <v>139</v>
      </c>
      <c r="H62" s="32">
        <f t="shared" ref="H62:H63" si="60">+$H$60*F62</f>
        <v>138144</v>
      </c>
      <c r="I62" s="25">
        <f>+H62*0.19</f>
        <v>26247.360000000001</v>
      </c>
      <c r="J62" s="25">
        <f>+IF(D62="Compra",-(H62+I62),(H62+I62))</f>
        <v>-164391.35999999999</v>
      </c>
      <c r="K62" s="167">
        <v>45223</v>
      </c>
      <c r="L62" s="26">
        <f>+E62+$L$3</f>
        <v>45242</v>
      </c>
      <c r="M62" s="26" t="s">
        <v>320</v>
      </c>
      <c r="N62" s="27"/>
      <c r="O62" s="26"/>
      <c r="P62" s="25"/>
      <c r="Q62" s="3"/>
      <c r="R62" s="3"/>
    </row>
    <row r="63" spans="1:19" x14ac:dyDescent="0.25">
      <c r="A63" s="1"/>
      <c r="B63" s="33" t="s">
        <v>24</v>
      </c>
      <c r="C63" s="34">
        <v>19261566</v>
      </c>
      <c r="D63" s="33" t="s">
        <v>26</v>
      </c>
      <c r="E63" s="35">
        <v>45221</v>
      </c>
      <c r="F63" s="36">
        <v>0.04</v>
      </c>
      <c r="G63" s="37" t="s">
        <v>139</v>
      </c>
      <c r="H63" s="38">
        <f t="shared" si="60"/>
        <v>69072</v>
      </c>
      <c r="I63" s="39">
        <f t="shared" ref="I63" si="61">+H63*0.19</f>
        <v>13123.68</v>
      </c>
      <c r="J63" s="39">
        <f t="shared" ref="J63:J65" si="62">+IF(D63="Compra",-(H63+I63),(H63+I63))</f>
        <v>-82195.679999999993</v>
      </c>
      <c r="K63" s="168">
        <v>45223</v>
      </c>
      <c r="L63" s="40">
        <f t="shared" ref="L63" si="63">+E63+$L$3</f>
        <v>45242</v>
      </c>
      <c r="M63" s="40" t="s">
        <v>320</v>
      </c>
      <c r="N63" s="41"/>
      <c r="O63" s="40"/>
      <c r="P63" s="39"/>
      <c r="Q63" s="7"/>
      <c r="R63" s="7"/>
    </row>
    <row r="64" spans="1:19" x14ac:dyDescent="0.25">
      <c r="A64" s="1"/>
      <c r="B64" s="21" t="s">
        <v>24</v>
      </c>
      <c r="C64" s="28">
        <v>992</v>
      </c>
      <c r="D64" s="21" t="s">
        <v>25</v>
      </c>
      <c r="E64" s="22">
        <v>45219</v>
      </c>
      <c r="F64" s="22"/>
      <c r="G64" s="23" t="s">
        <v>139</v>
      </c>
      <c r="H64" s="24">
        <v>1726800</v>
      </c>
      <c r="I64" s="25">
        <f>+H64*0.19</f>
        <v>328092</v>
      </c>
      <c r="J64" s="25">
        <f t="shared" si="62"/>
        <v>2054892</v>
      </c>
      <c r="K64" s="167">
        <v>45222</v>
      </c>
      <c r="L64" s="26">
        <f>+E64+$L$3</f>
        <v>45240</v>
      </c>
      <c r="M64" s="26" t="s">
        <v>302</v>
      </c>
      <c r="N64" s="27"/>
      <c r="O64" s="26">
        <v>45240</v>
      </c>
      <c r="P64" s="25">
        <f>+WEEKNUM(O64,21)</f>
        <v>45</v>
      </c>
      <c r="Q64" s="27"/>
      <c r="R64" s="27" t="s">
        <v>303</v>
      </c>
      <c r="S64" s="19"/>
    </row>
    <row r="65" spans="1:19" x14ac:dyDescent="0.25">
      <c r="A65" s="1"/>
      <c r="B65" s="21" t="s">
        <v>24</v>
      </c>
      <c r="C65" s="181"/>
      <c r="D65" s="21" t="s">
        <v>26</v>
      </c>
      <c r="E65" s="22"/>
      <c r="F65" s="29">
        <v>0.1</v>
      </c>
      <c r="G65" s="23"/>
      <c r="H65" s="30">
        <f>+$H$64*F65</f>
        <v>172680</v>
      </c>
      <c r="I65" s="25">
        <f t="shared" ref="I65" si="64">+H65*0.19</f>
        <v>32809.199999999997</v>
      </c>
      <c r="J65" s="25">
        <f t="shared" si="62"/>
        <v>-205489.2</v>
      </c>
      <c r="K65" s="25"/>
      <c r="L65" s="26">
        <f>+E65+$L$3</f>
        <v>21</v>
      </c>
      <c r="M65" s="26" t="s">
        <v>138</v>
      </c>
      <c r="N65" s="27"/>
      <c r="O65" s="26"/>
      <c r="P65" s="25"/>
      <c r="Q65" s="27"/>
      <c r="R65" s="27"/>
    </row>
    <row r="66" spans="1:19" x14ac:dyDescent="0.25">
      <c r="A66" s="1" t="s">
        <v>262</v>
      </c>
      <c r="B66" s="21" t="s">
        <v>24</v>
      </c>
      <c r="C66" s="28">
        <v>19262025</v>
      </c>
      <c r="D66" s="21" t="s">
        <v>26</v>
      </c>
      <c r="E66" s="22">
        <v>45221</v>
      </c>
      <c r="F66" s="29">
        <v>0.08</v>
      </c>
      <c r="G66" s="31" t="s">
        <v>139</v>
      </c>
      <c r="H66" s="32">
        <f t="shared" ref="H66:H67" si="65">+$H$64*F66</f>
        <v>138144</v>
      </c>
      <c r="I66" s="25">
        <f>+H66*0.19</f>
        <v>26247.360000000001</v>
      </c>
      <c r="J66" s="25">
        <f>+IF(D66="Compra",-(H66+I66),(H66+I66))</f>
        <v>-164391.35999999999</v>
      </c>
      <c r="K66" s="167">
        <v>45223</v>
      </c>
      <c r="L66" s="26">
        <f>+E66+$L$3</f>
        <v>45242</v>
      </c>
      <c r="M66" s="26" t="s">
        <v>320</v>
      </c>
      <c r="N66" s="27"/>
      <c r="O66" s="26"/>
      <c r="P66" s="25"/>
      <c r="Q66" s="3"/>
      <c r="R66" s="3"/>
    </row>
    <row r="67" spans="1:19" x14ac:dyDescent="0.25">
      <c r="A67" s="1"/>
      <c r="B67" s="33" t="s">
        <v>24</v>
      </c>
      <c r="C67" s="34">
        <v>19261566</v>
      </c>
      <c r="D67" s="33" t="s">
        <v>26</v>
      </c>
      <c r="E67" s="35">
        <v>45221</v>
      </c>
      <c r="F67" s="36">
        <v>0.04</v>
      </c>
      <c r="G67" s="37" t="s">
        <v>139</v>
      </c>
      <c r="H67" s="38">
        <f t="shared" si="65"/>
        <v>69072</v>
      </c>
      <c r="I67" s="39">
        <f t="shared" ref="I67" si="66">+H67*0.19</f>
        <v>13123.68</v>
      </c>
      <c r="J67" s="39">
        <f t="shared" ref="J67:J69" si="67">+IF(D67="Compra",-(H67+I67),(H67+I67))</f>
        <v>-82195.679999999993</v>
      </c>
      <c r="K67" s="168">
        <v>45223</v>
      </c>
      <c r="L67" s="40">
        <f t="shared" ref="L67" si="68">+E67+$L$3</f>
        <v>45242</v>
      </c>
      <c r="M67" s="40" t="s">
        <v>320</v>
      </c>
      <c r="N67" s="41"/>
      <c r="O67" s="40"/>
      <c r="P67" s="39"/>
      <c r="Q67" s="7"/>
      <c r="R67" s="7"/>
    </row>
    <row r="68" spans="1:19" x14ac:dyDescent="0.25">
      <c r="A68" s="1"/>
      <c r="B68" s="21" t="s">
        <v>24</v>
      </c>
      <c r="C68" s="28">
        <v>993</v>
      </c>
      <c r="D68" s="21" t="s">
        <v>25</v>
      </c>
      <c r="E68" s="22">
        <v>45219</v>
      </c>
      <c r="F68" s="22"/>
      <c r="G68" s="23" t="s">
        <v>139</v>
      </c>
      <c r="H68" s="24">
        <v>1726800</v>
      </c>
      <c r="I68" s="25">
        <f>+H68*0.19</f>
        <v>328092</v>
      </c>
      <c r="J68" s="25">
        <f t="shared" si="67"/>
        <v>2054892</v>
      </c>
      <c r="K68" s="167">
        <v>45222</v>
      </c>
      <c r="L68" s="26">
        <f>+E68+$L$3</f>
        <v>45240</v>
      </c>
      <c r="M68" s="26" t="s">
        <v>302</v>
      </c>
      <c r="N68" s="27"/>
      <c r="O68" s="26">
        <v>45240</v>
      </c>
      <c r="P68" s="25">
        <f>+WEEKNUM(O68,21)</f>
        <v>45</v>
      </c>
      <c r="Q68" s="27"/>
      <c r="R68" s="27" t="s">
        <v>303</v>
      </c>
      <c r="S68" s="19"/>
    </row>
    <row r="69" spans="1:19" x14ac:dyDescent="0.25">
      <c r="A69" s="1"/>
      <c r="B69" s="21" t="s">
        <v>24</v>
      </c>
      <c r="C69" s="181"/>
      <c r="D69" s="21" t="s">
        <v>26</v>
      </c>
      <c r="E69" s="22"/>
      <c r="F69" s="29">
        <v>0.1</v>
      </c>
      <c r="G69" s="23"/>
      <c r="H69" s="30">
        <f>+$H$68*F69</f>
        <v>172680</v>
      </c>
      <c r="I69" s="25">
        <f t="shared" ref="I69" si="69">+H69*0.19</f>
        <v>32809.199999999997</v>
      </c>
      <c r="J69" s="25">
        <f t="shared" si="67"/>
        <v>-205489.2</v>
      </c>
      <c r="K69" s="25"/>
      <c r="L69" s="26">
        <f>+E69+$L$3</f>
        <v>21</v>
      </c>
      <c r="M69" s="26" t="s">
        <v>138</v>
      </c>
      <c r="N69" s="27"/>
      <c r="O69" s="26"/>
      <c r="P69" s="25"/>
      <c r="Q69" s="27"/>
      <c r="R69" s="27"/>
    </row>
    <row r="70" spans="1:19" x14ac:dyDescent="0.25">
      <c r="A70" s="1" t="s">
        <v>262</v>
      </c>
      <c r="B70" s="21" t="s">
        <v>24</v>
      </c>
      <c r="C70" s="28">
        <v>19262025</v>
      </c>
      <c r="D70" s="21" t="s">
        <v>26</v>
      </c>
      <c r="E70" s="22">
        <v>45221</v>
      </c>
      <c r="F70" s="29">
        <v>0.08</v>
      </c>
      <c r="G70" s="31" t="s">
        <v>139</v>
      </c>
      <c r="H70" s="32">
        <f t="shared" ref="H70:H71" si="70">+$H$68*F70</f>
        <v>138144</v>
      </c>
      <c r="I70" s="25">
        <f>+H70*0.19</f>
        <v>26247.360000000001</v>
      </c>
      <c r="J70" s="25">
        <f>+IF(D70="Compra",-(H70+I70),(H70+I70))</f>
        <v>-164391.35999999999</v>
      </c>
      <c r="K70" s="167">
        <v>45223</v>
      </c>
      <c r="L70" s="26">
        <f>+E70+$L$3</f>
        <v>45242</v>
      </c>
      <c r="M70" s="26" t="s">
        <v>320</v>
      </c>
      <c r="N70" s="27"/>
      <c r="O70" s="26"/>
      <c r="P70" s="25"/>
      <c r="Q70" s="3"/>
      <c r="R70" s="3"/>
    </row>
    <row r="71" spans="1:19" x14ac:dyDescent="0.25">
      <c r="A71" s="1"/>
      <c r="B71" s="33" t="s">
        <v>24</v>
      </c>
      <c r="C71" s="34">
        <v>19261566</v>
      </c>
      <c r="D71" s="33" t="s">
        <v>26</v>
      </c>
      <c r="E71" s="35">
        <v>45221</v>
      </c>
      <c r="F71" s="36">
        <v>0.04</v>
      </c>
      <c r="G71" s="37" t="s">
        <v>139</v>
      </c>
      <c r="H71" s="38">
        <f t="shared" si="70"/>
        <v>69072</v>
      </c>
      <c r="I71" s="39">
        <f t="shared" ref="I71" si="71">+H71*0.19</f>
        <v>13123.68</v>
      </c>
      <c r="J71" s="39">
        <f t="shared" ref="J71:J73" si="72">+IF(D71="Compra",-(H71+I71),(H71+I71))</f>
        <v>-82195.679999999993</v>
      </c>
      <c r="K71" s="168">
        <v>45223</v>
      </c>
      <c r="L71" s="40">
        <f t="shared" ref="L71" si="73">+E71+$L$3</f>
        <v>45242</v>
      </c>
      <c r="M71" s="40" t="s">
        <v>320</v>
      </c>
      <c r="N71" s="41"/>
      <c r="O71" s="40"/>
      <c r="P71" s="39"/>
      <c r="Q71" s="7"/>
      <c r="R71" s="7"/>
    </row>
    <row r="72" spans="1:19" x14ac:dyDescent="0.25">
      <c r="A72" s="1"/>
      <c r="B72" s="21" t="s">
        <v>24</v>
      </c>
      <c r="C72" s="28">
        <v>994</v>
      </c>
      <c r="D72" s="21" t="s">
        <v>25</v>
      </c>
      <c r="E72" s="22">
        <v>45219</v>
      </c>
      <c r="F72" s="22"/>
      <c r="G72" s="23" t="s">
        <v>139</v>
      </c>
      <c r="H72" s="24">
        <v>1726800</v>
      </c>
      <c r="I72" s="25">
        <f>+H72*0.19</f>
        <v>328092</v>
      </c>
      <c r="J72" s="25">
        <f t="shared" si="72"/>
        <v>2054892</v>
      </c>
      <c r="K72" s="167">
        <v>45222</v>
      </c>
      <c r="L72" s="26">
        <f>+E72+$L$3</f>
        <v>45240</v>
      </c>
      <c r="M72" s="26" t="s">
        <v>302</v>
      </c>
      <c r="N72" s="27"/>
      <c r="O72" s="26">
        <v>45240</v>
      </c>
      <c r="P72" s="25">
        <f>+WEEKNUM(O72,21)</f>
        <v>45</v>
      </c>
      <c r="Q72" s="27"/>
      <c r="R72" s="27" t="s">
        <v>303</v>
      </c>
      <c r="S72" s="19"/>
    </row>
    <row r="73" spans="1:19" x14ac:dyDescent="0.25">
      <c r="A73" s="1"/>
      <c r="B73" s="21" t="s">
        <v>24</v>
      </c>
      <c r="C73" s="181"/>
      <c r="D73" s="21" t="s">
        <v>26</v>
      </c>
      <c r="E73" s="22"/>
      <c r="F73" s="29">
        <v>0.1</v>
      </c>
      <c r="G73" s="23"/>
      <c r="H73" s="30">
        <f>+$H$72*F73</f>
        <v>172680</v>
      </c>
      <c r="I73" s="25">
        <f t="shared" ref="I73" si="74">+H73*0.19</f>
        <v>32809.199999999997</v>
      </c>
      <c r="J73" s="25">
        <f t="shared" si="72"/>
        <v>-205489.2</v>
      </c>
      <c r="K73" s="25"/>
      <c r="L73" s="26">
        <f>+E73+$L$3</f>
        <v>21</v>
      </c>
      <c r="M73" s="26" t="s">
        <v>138</v>
      </c>
      <c r="N73" s="27"/>
      <c r="O73" s="26"/>
      <c r="P73" s="25"/>
      <c r="Q73" s="27"/>
      <c r="R73" s="27"/>
    </row>
    <row r="74" spans="1:19" x14ac:dyDescent="0.25">
      <c r="A74" s="1" t="s">
        <v>262</v>
      </c>
      <c r="B74" s="21" t="s">
        <v>24</v>
      </c>
      <c r="C74" s="28">
        <v>19262025</v>
      </c>
      <c r="D74" s="21" t="s">
        <v>26</v>
      </c>
      <c r="E74" s="22">
        <v>45221</v>
      </c>
      <c r="F74" s="29">
        <v>0.08</v>
      </c>
      <c r="G74" s="31" t="s">
        <v>139</v>
      </c>
      <c r="H74" s="32">
        <f t="shared" ref="H74:H75" si="75">+$H$72*F74</f>
        <v>138144</v>
      </c>
      <c r="I74" s="25">
        <f>+H74*0.19</f>
        <v>26247.360000000001</v>
      </c>
      <c r="J74" s="25">
        <f>+IF(D74="Compra",-(H74+I74),(H74+I74))</f>
        <v>-164391.35999999999</v>
      </c>
      <c r="K74" s="167">
        <v>45223</v>
      </c>
      <c r="L74" s="26">
        <f>+E74+$L$3</f>
        <v>45242</v>
      </c>
      <c r="M74" s="26" t="s">
        <v>320</v>
      </c>
      <c r="N74" s="27"/>
      <c r="O74" s="26"/>
      <c r="P74" s="25"/>
      <c r="Q74" s="3"/>
      <c r="R74" s="3"/>
    </row>
    <row r="75" spans="1:19" x14ac:dyDescent="0.25">
      <c r="A75" s="1"/>
      <c r="B75" s="33" t="s">
        <v>24</v>
      </c>
      <c r="C75" s="34">
        <v>19261566</v>
      </c>
      <c r="D75" s="33" t="s">
        <v>26</v>
      </c>
      <c r="E75" s="35">
        <v>45221</v>
      </c>
      <c r="F75" s="36">
        <v>0.04</v>
      </c>
      <c r="G75" s="37" t="s">
        <v>139</v>
      </c>
      <c r="H75" s="38">
        <f t="shared" si="75"/>
        <v>69072</v>
      </c>
      <c r="I75" s="39">
        <f t="shared" ref="I75" si="76">+H75*0.19</f>
        <v>13123.68</v>
      </c>
      <c r="J75" s="39">
        <f t="shared" ref="J75:J77" si="77">+IF(D75="Compra",-(H75+I75),(H75+I75))</f>
        <v>-82195.679999999993</v>
      </c>
      <c r="K75" s="168">
        <v>45223</v>
      </c>
      <c r="L75" s="40">
        <f t="shared" ref="L75" si="78">+E75+$L$3</f>
        <v>45242</v>
      </c>
      <c r="M75" s="40" t="s">
        <v>320</v>
      </c>
      <c r="N75" s="41"/>
      <c r="O75" s="40"/>
      <c r="P75" s="39"/>
      <c r="Q75" s="7"/>
      <c r="R75" s="7"/>
    </row>
    <row r="76" spans="1:19" x14ac:dyDescent="0.25">
      <c r="A76" s="1"/>
      <c r="B76" s="21" t="s">
        <v>24</v>
      </c>
      <c r="C76" s="28">
        <v>995</v>
      </c>
      <c r="D76" s="21" t="s">
        <v>25</v>
      </c>
      <c r="E76" s="22">
        <v>45219</v>
      </c>
      <c r="F76" s="22"/>
      <c r="G76" s="23" t="s">
        <v>139</v>
      </c>
      <c r="H76" s="24">
        <v>1726800</v>
      </c>
      <c r="I76" s="25">
        <f>+H76*0.19</f>
        <v>328092</v>
      </c>
      <c r="J76" s="25">
        <f t="shared" si="77"/>
        <v>2054892</v>
      </c>
      <c r="K76" s="167">
        <v>45223</v>
      </c>
      <c r="L76" s="26">
        <f>+E76+$L$3</f>
        <v>45240</v>
      </c>
      <c r="M76" s="26" t="s">
        <v>302</v>
      </c>
      <c r="N76" s="27"/>
      <c r="O76" s="26">
        <v>45240</v>
      </c>
      <c r="P76" s="25">
        <f>+WEEKNUM(O76,21)</f>
        <v>45</v>
      </c>
      <c r="Q76" s="27"/>
      <c r="R76" s="27" t="s">
        <v>303</v>
      </c>
      <c r="S76" s="19"/>
    </row>
    <row r="77" spans="1:19" x14ac:dyDescent="0.25">
      <c r="A77" s="1"/>
      <c r="B77" s="21" t="s">
        <v>24</v>
      </c>
      <c r="C77" s="28"/>
      <c r="D77" s="21" t="s">
        <v>26</v>
      </c>
      <c r="E77" s="22"/>
      <c r="F77" s="29">
        <v>0.1</v>
      </c>
      <c r="G77" s="23"/>
      <c r="H77" s="30">
        <f>+$H$76*F77</f>
        <v>172680</v>
      </c>
      <c r="I77" s="25">
        <f t="shared" ref="I77" si="79">+H77*0.19</f>
        <v>32809.199999999997</v>
      </c>
      <c r="J77" s="25">
        <f t="shared" si="77"/>
        <v>-205489.2</v>
      </c>
      <c r="K77" s="25"/>
      <c r="L77" s="26">
        <f>+E77+$L$3</f>
        <v>21</v>
      </c>
      <c r="M77" s="26" t="s">
        <v>138</v>
      </c>
      <c r="N77" s="27"/>
      <c r="O77" s="26"/>
      <c r="P77" s="25"/>
      <c r="Q77" s="27"/>
      <c r="R77" s="27"/>
    </row>
    <row r="78" spans="1:19" x14ac:dyDescent="0.25">
      <c r="A78" s="1"/>
      <c r="B78" s="21" t="s">
        <v>24</v>
      </c>
      <c r="C78" s="28">
        <v>19266412</v>
      </c>
      <c r="D78" s="21" t="s">
        <v>26</v>
      </c>
      <c r="E78" s="22">
        <v>45228</v>
      </c>
      <c r="F78" s="29">
        <v>0.08</v>
      </c>
      <c r="G78" s="31" t="s">
        <v>139</v>
      </c>
      <c r="H78" s="32">
        <f t="shared" ref="H78:H79" si="80">+$H$76*F78</f>
        <v>138144</v>
      </c>
      <c r="I78" s="25">
        <f>+H78*0.19</f>
        <v>26247.360000000001</v>
      </c>
      <c r="J78" s="25">
        <f>+IF(D78="Compra",-(H78+I78),(H78+I78))</f>
        <v>-164391.35999999999</v>
      </c>
      <c r="K78" s="167">
        <v>45230</v>
      </c>
      <c r="L78" s="26">
        <f>+E78+$L$3</f>
        <v>45249</v>
      </c>
      <c r="M78" s="26" t="s">
        <v>320</v>
      </c>
      <c r="N78" s="27"/>
      <c r="O78" s="26"/>
      <c r="P78" s="25"/>
      <c r="Q78" s="3"/>
      <c r="R78" s="3"/>
    </row>
    <row r="79" spans="1:19" ht="18" customHeight="1" x14ac:dyDescent="0.25">
      <c r="A79" s="1"/>
      <c r="B79" s="33" t="s">
        <v>24</v>
      </c>
      <c r="C79" s="34">
        <v>19266019</v>
      </c>
      <c r="D79" s="33" t="s">
        <v>26</v>
      </c>
      <c r="E79" s="35">
        <v>45228</v>
      </c>
      <c r="F79" s="36">
        <v>0.04</v>
      </c>
      <c r="G79" s="37" t="s">
        <v>139</v>
      </c>
      <c r="H79" s="38">
        <f t="shared" si="80"/>
        <v>69072</v>
      </c>
      <c r="I79" s="39">
        <f t="shared" ref="I79" si="81">+H79*0.19</f>
        <v>13123.68</v>
      </c>
      <c r="J79" s="39">
        <f t="shared" ref="J79:J81" si="82">+IF(D79="Compra",-(H79+I79),(H79+I79))</f>
        <v>-82195.679999999993</v>
      </c>
      <c r="K79" s="168">
        <v>45230</v>
      </c>
      <c r="L79" s="40">
        <f t="shared" ref="L79" si="83">+E79+$L$3</f>
        <v>45249</v>
      </c>
      <c r="M79" s="40" t="s">
        <v>320</v>
      </c>
      <c r="N79" s="41"/>
      <c r="O79" s="40"/>
      <c r="P79" s="39"/>
      <c r="Q79" s="7"/>
      <c r="R79" s="7"/>
    </row>
    <row r="80" spans="1:19" x14ac:dyDescent="0.25">
      <c r="A80" s="1"/>
      <c r="B80" s="21" t="s">
        <v>24</v>
      </c>
      <c r="C80" s="28">
        <v>998</v>
      </c>
      <c r="D80" s="21" t="s">
        <v>25</v>
      </c>
      <c r="E80" s="22">
        <v>45222</v>
      </c>
      <c r="F80" s="22"/>
      <c r="G80" s="23" t="s">
        <v>139</v>
      </c>
      <c r="H80" s="24">
        <v>18576908</v>
      </c>
      <c r="I80" s="25">
        <f>+H80*0.19</f>
        <v>3529612.52</v>
      </c>
      <c r="J80" s="25">
        <f t="shared" si="82"/>
        <v>22106520.52</v>
      </c>
      <c r="K80" s="167">
        <v>45224</v>
      </c>
      <c r="L80" s="26">
        <v>45247</v>
      </c>
      <c r="M80" s="26" t="s">
        <v>302</v>
      </c>
      <c r="N80" s="27"/>
      <c r="O80" s="26">
        <v>45247</v>
      </c>
      <c r="P80" s="25">
        <f>+WEEKNUM(O80,21)</f>
        <v>46</v>
      </c>
      <c r="Q80" s="27"/>
      <c r="R80" s="27" t="s">
        <v>303</v>
      </c>
      <c r="S80" s="19"/>
    </row>
    <row r="81" spans="1:19" x14ac:dyDescent="0.25">
      <c r="A81" s="1"/>
      <c r="B81" s="21" t="s">
        <v>24</v>
      </c>
      <c r="C81" s="28">
        <v>19265049</v>
      </c>
      <c r="D81" s="21" t="s">
        <v>26</v>
      </c>
      <c r="E81" s="22">
        <v>45228</v>
      </c>
      <c r="F81" s="29">
        <v>0.1</v>
      </c>
      <c r="G81" s="23" t="s">
        <v>139</v>
      </c>
      <c r="H81" s="30">
        <f>+$H$80*F81</f>
        <v>1857690.8</v>
      </c>
      <c r="I81" s="25">
        <f t="shared" ref="I81" si="84">+H81*0.19</f>
        <v>352961.25200000004</v>
      </c>
      <c r="J81" s="25">
        <f t="shared" si="82"/>
        <v>-2210652.0520000001</v>
      </c>
      <c r="K81" s="167">
        <v>45230</v>
      </c>
      <c r="L81" s="26">
        <f>+E81+$L$3</f>
        <v>45249</v>
      </c>
      <c r="M81" s="26" t="s">
        <v>320</v>
      </c>
      <c r="N81" s="27"/>
      <c r="O81" s="26"/>
      <c r="P81" s="25"/>
      <c r="Q81" s="27"/>
      <c r="R81" s="27"/>
    </row>
    <row r="82" spans="1:19" x14ac:dyDescent="0.25">
      <c r="A82" s="1"/>
      <c r="B82" s="21" t="s">
        <v>24</v>
      </c>
      <c r="C82" s="28">
        <v>19266411</v>
      </c>
      <c r="D82" s="21" t="s">
        <v>26</v>
      </c>
      <c r="E82" s="22">
        <v>45228</v>
      </c>
      <c r="F82" s="29">
        <v>0.08</v>
      </c>
      <c r="G82" s="31" t="s">
        <v>139</v>
      </c>
      <c r="H82" s="32">
        <f t="shared" ref="H82:H83" si="85">+$H$80*F82</f>
        <v>1486152.6400000001</v>
      </c>
      <c r="I82" s="25">
        <f>+H82*0.19</f>
        <v>282369.00160000002</v>
      </c>
      <c r="J82" s="179">
        <f>+IF(D82="Compra",-(H82+I82),(H82+I82))</f>
        <v>-1768521.6416000002</v>
      </c>
      <c r="K82" s="22">
        <v>45230</v>
      </c>
      <c r="L82" s="26">
        <f>+E82+$L$3</f>
        <v>45249</v>
      </c>
      <c r="M82" s="26" t="s">
        <v>320</v>
      </c>
      <c r="N82" s="27"/>
      <c r="O82" s="26"/>
      <c r="P82" s="25"/>
      <c r="Q82" s="3"/>
      <c r="R82" s="3"/>
    </row>
    <row r="83" spans="1:19" x14ac:dyDescent="0.25">
      <c r="A83" s="1"/>
      <c r="B83" s="33" t="s">
        <v>24</v>
      </c>
      <c r="C83" s="34">
        <v>19266020</v>
      </c>
      <c r="D83" s="33" t="s">
        <v>26</v>
      </c>
      <c r="E83" s="35">
        <v>45228</v>
      </c>
      <c r="F83" s="36">
        <v>0.04</v>
      </c>
      <c r="G83" s="37" t="s">
        <v>139</v>
      </c>
      <c r="H83" s="38">
        <f t="shared" si="85"/>
        <v>743076.32000000007</v>
      </c>
      <c r="I83" s="39">
        <f t="shared" ref="I83" si="86">+H83*0.19</f>
        <v>141184.50080000001</v>
      </c>
      <c r="J83" s="180">
        <f t="shared" ref="J83:J85" si="87">+IF(D83="Compra",-(H83+I83),(H83+I83))</f>
        <v>-884260.8208000001</v>
      </c>
      <c r="K83" s="35">
        <v>45230</v>
      </c>
      <c r="L83" s="40">
        <f t="shared" ref="L83" si="88">+E83+$L$3</f>
        <v>45249</v>
      </c>
      <c r="M83" s="40" t="s">
        <v>320</v>
      </c>
      <c r="N83" s="41"/>
      <c r="O83" s="40"/>
      <c r="P83" s="39"/>
      <c r="Q83" s="7"/>
      <c r="R83" s="7"/>
    </row>
    <row r="84" spans="1:19" x14ac:dyDescent="0.25">
      <c r="A84" s="1"/>
      <c r="B84" s="21" t="s">
        <v>24</v>
      </c>
      <c r="C84" s="28">
        <v>1003</v>
      </c>
      <c r="D84" s="21" t="s">
        <v>25</v>
      </c>
      <c r="E84" s="22">
        <v>45225</v>
      </c>
      <c r="F84" s="29"/>
      <c r="G84" s="23" t="s">
        <v>139</v>
      </c>
      <c r="H84" s="30">
        <v>20673416</v>
      </c>
      <c r="I84" s="25">
        <f>+H84*0.19</f>
        <v>3927949.04</v>
      </c>
      <c r="J84" s="25">
        <f t="shared" si="87"/>
        <v>24601365.039999999</v>
      </c>
      <c r="K84" s="167">
        <v>45295</v>
      </c>
      <c r="L84" s="26">
        <f>+E84+$L$3</f>
        <v>45246</v>
      </c>
      <c r="M84" s="26" t="s">
        <v>475</v>
      </c>
      <c r="N84" s="27"/>
      <c r="O84" s="26"/>
      <c r="P84" s="25">
        <f>+WEEKNUM(O84,21)</f>
        <v>52</v>
      </c>
      <c r="Q84" s="27"/>
      <c r="R84" s="27"/>
    </row>
    <row r="85" spans="1:19" x14ac:dyDescent="0.25">
      <c r="A85" s="1"/>
      <c r="B85" s="21" t="s">
        <v>24</v>
      </c>
      <c r="C85" s="28">
        <v>19265049</v>
      </c>
      <c r="D85" s="21" t="s">
        <v>26</v>
      </c>
      <c r="E85" s="22">
        <v>45228</v>
      </c>
      <c r="F85" s="29">
        <v>0.1</v>
      </c>
      <c r="G85" s="23" t="s">
        <v>139</v>
      </c>
      <c r="H85" s="30">
        <f>+$H$84*F85</f>
        <v>2067341.6</v>
      </c>
      <c r="I85" s="25">
        <f t="shared" ref="I85" si="89">+H85*0.19</f>
        <v>392794.90400000004</v>
      </c>
      <c r="J85" s="25">
        <f t="shared" si="87"/>
        <v>-2460136.5040000002</v>
      </c>
      <c r="K85" s="167">
        <v>45230</v>
      </c>
      <c r="L85" s="26">
        <f>+E85+$L$3</f>
        <v>45249</v>
      </c>
      <c r="M85" s="26" t="s">
        <v>320</v>
      </c>
      <c r="N85" s="27"/>
      <c r="O85" s="26"/>
      <c r="P85" s="25"/>
      <c r="Q85" s="27"/>
      <c r="R85" s="27"/>
    </row>
    <row r="86" spans="1:19" x14ac:dyDescent="0.25">
      <c r="A86" s="1"/>
      <c r="B86" s="21" t="s">
        <v>24</v>
      </c>
      <c r="C86" s="28">
        <v>19266411</v>
      </c>
      <c r="D86" s="21" t="s">
        <v>26</v>
      </c>
      <c r="E86" s="22">
        <v>45228</v>
      </c>
      <c r="F86" s="29">
        <v>0.08</v>
      </c>
      <c r="G86" s="31" t="s">
        <v>139</v>
      </c>
      <c r="H86" s="32">
        <f t="shared" ref="H86:H87" si="90">+$H$84*F86</f>
        <v>1653873.28</v>
      </c>
      <c r="I86" s="25">
        <f>+H86*0.19</f>
        <v>314235.92320000002</v>
      </c>
      <c r="J86" s="179">
        <f>+IF(D86="Compra",-(H86+I86),(H86+I86))</f>
        <v>-1968109.2032000001</v>
      </c>
      <c r="K86" s="22">
        <v>45230</v>
      </c>
      <c r="L86" s="26">
        <f>+E86+$L$3</f>
        <v>45249</v>
      </c>
      <c r="M86" s="26" t="s">
        <v>320</v>
      </c>
      <c r="N86" s="27"/>
      <c r="O86" s="26"/>
      <c r="P86" s="25"/>
      <c r="Q86" s="3"/>
      <c r="R86" s="3"/>
    </row>
    <row r="87" spans="1:19" x14ac:dyDescent="0.25">
      <c r="A87" s="1"/>
      <c r="B87" s="33" t="s">
        <v>24</v>
      </c>
      <c r="C87" s="34">
        <v>19266020</v>
      </c>
      <c r="D87" s="33" t="s">
        <v>26</v>
      </c>
      <c r="E87" s="35">
        <v>45228</v>
      </c>
      <c r="F87" s="36">
        <v>0.04</v>
      </c>
      <c r="G87" s="37" t="s">
        <v>139</v>
      </c>
      <c r="H87" s="38">
        <f t="shared" si="90"/>
        <v>826936.64</v>
      </c>
      <c r="I87" s="39">
        <f t="shared" ref="I87" si="91">+H87*0.19</f>
        <v>157117.96160000001</v>
      </c>
      <c r="J87" s="180">
        <f t="shared" ref="J87:J89" si="92">+IF(D87="Compra",-(H87+I87),(H87+I87))</f>
        <v>-984054.60160000005</v>
      </c>
      <c r="K87" s="35">
        <v>45230</v>
      </c>
      <c r="L87" s="40">
        <f t="shared" ref="L87" si="93">+E87+$L$3</f>
        <v>45249</v>
      </c>
      <c r="M87" s="40" t="s">
        <v>320</v>
      </c>
      <c r="N87" s="41"/>
      <c r="O87" s="40"/>
      <c r="P87" s="39"/>
      <c r="Q87" s="7"/>
      <c r="R87" s="7"/>
    </row>
    <row r="88" spans="1:19" x14ac:dyDescent="0.25">
      <c r="A88" s="1"/>
      <c r="B88" s="21" t="s">
        <v>24</v>
      </c>
      <c r="C88" s="28">
        <v>1008</v>
      </c>
      <c r="D88" s="21" t="s">
        <v>25</v>
      </c>
      <c r="E88" s="22">
        <v>45229</v>
      </c>
      <c r="F88" s="22"/>
      <c r="G88" s="23" t="s">
        <v>139</v>
      </c>
      <c r="H88" s="24">
        <v>20551220</v>
      </c>
      <c r="I88" s="25">
        <f>+H88*0.19</f>
        <v>3904731.8</v>
      </c>
      <c r="J88" s="25">
        <f t="shared" si="92"/>
        <v>24455951.800000001</v>
      </c>
      <c r="K88" s="167">
        <v>45231</v>
      </c>
      <c r="L88" s="26">
        <f>+E88+$L$3</f>
        <v>45250</v>
      </c>
      <c r="M88" s="26" t="s">
        <v>320</v>
      </c>
      <c r="N88" s="27"/>
      <c r="O88" s="26"/>
      <c r="P88" s="25">
        <f>+WEEKNUM(O88,21)</f>
        <v>52</v>
      </c>
      <c r="Q88" s="27"/>
      <c r="R88" s="27"/>
      <c r="S88" s="19"/>
    </row>
    <row r="89" spans="1:19" x14ac:dyDescent="0.25">
      <c r="A89" s="1"/>
      <c r="B89" s="21" t="s">
        <v>24</v>
      </c>
      <c r="C89" s="28">
        <v>19269517</v>
      </c>
      <c r="D89" s="21" t="s">
        <v>26</v>
      </c>
      <c r="E89" s="22">
        <v>45230</v>
      </c>
      <c r="F89" s="29">
        <v>0.1</v>
      </c>
      <c r="G89" s="23" t="s">
        <v>139</v>
      </c>
      <c r="H89" s="30">
        <f>+$H$88*F89</f>
        <v>2055122</v>
      </c>
      <c r="I89" s="25">
        <f t="shared" ref="I89" si="94">+H89*0.19</f>
        <v>390473.18</v>
      </c>
      <c r="J89" s="25">
        <f t="shared" si="92"/>
        <v>-2445595.1800000002</v>
      </c>
      <c r="K89" s="167">
        <v>45232</v>
      </c>
      <c r="L89" s="26">
        <f>+E89+$L$3</f>
        <v>45251</v>
      </c>
      <c r="M89" s="26" t="s">
        <v>320</v>
      </c>
      <c r="N89" s="27"/>
      <c r="O89" s="26"/>
      <c r="P89" s="25"/>
      <c r="Q89" s="27"/>
      <c r="R89" s="27"/>
    </row>
    <row r="90" spans="1:19" x14ac:dyDescent="0.25">
      <c r="A90" s="1"/>
      <c r="B90" s="21" t="s">
        <v>24</v>
      </c>
      <c r="C90" s="28">
        <v>19270495</v>
      </c>
      <c r="D90" s="21" t="s">
        <v>26</v>
      </c>
      <c r="E90" s="22">
        <v>45230</v>
      </c>
      <c r="F90" s="29">
        <v>0.08</v>
      </c>
      <c r="G90" s="31" t="s">
        <v>139</v>
      </c>
      <c r="H90" s="32">
        <f t="shared" ref="H90:H91" si="95">+$H$88*F90</f>
        <v>1644097.6</v>
      </c>
      <c r="I90" s="25">
        <f>+H90*0.19</f>
        <v>312378.54399999999</v>
      </c>
      <c r="J90" s="25">
        <f>+IF(D90="Compra",-(H90+I90),(H90+I90))</f>
        <v>-1956476.1440000001</v>
      </c>
      <c r="K90" s="169">
        <v>45232</v>
      </c>
      <c r="L90" s="26">
        <f>+E90+$L$3</f>
        <v>45251</v>
      </c>
      <c r="M90" s="26" t="s">
        <v>320</v>
      </c>
      <c r="N90" s="27"/>
      <c r="O90" s="26"/>
      <c r="P90" s="25"/>
      <c r="Q90" s="3"/>
      <c r="R90" s="3"/>
    </row>
    <row r="91" spans="1:19" x14ac:dyDescent="0.25">
      <c r="A91" s="1"/>
      <c r="B91" s="33" t="s">
        <v>24</v>
      </c>
      <c r="C91" s="34">
        <v>19270061</v>
      </c>
      <c r="D91" s="33" t="s">
        <v>26</v>
      </c>
      <c r="E91" s="35">
        <v>45230</v>
      </c>
      <c r="F91" s="36">
        <v>0.04</v>
      </c>
      <c r="G91" s="37" t="s">
        <v>139</v>
      </c>
      <c r="H91" s="38">
        <f t="shared" si="95"/>
        <v>822048.8</v>
      </c>
      <c r="I91" s="39">
        <f t="shared" ref="I91" si="96">+H91*0.19</f>
        <v>156189.272</v>
      </c>
      <c r="J91" s="39">
        <f t="shared" ref="J91:J93" si="97">+IF(D91="Compra",-(H91+I91),(H91+I91))</f>
        <v>-978238.07200000004</v>
      </c>
      <c r="K91" s="168">
        <v>45232</v>
      </c>
      <c r="L91" s="40">
        <f t="shared" ref="L91" si="98">+E91+$L$3</f>
        <v>45251</v>
      </c>
      <c r="M91" s="40" t="s">
        <v>320</v>
      </c>
      <c r="N91" s="41"/>
      <c r="O91" s="40"/>
      <c r="P91" s="39"/>
      <c r="Q91" s="7"/>
      <c r="R91" s="7"/>
    </row>
    <row r="92" spans="1:19" x14ac:dyDescent="0.25">
      <c r="A92" s="1"/>
      <c r="B92" s="21" t="s">
        <v>24</v>
      </c>
      <c r="C92" s="28">
        <v>1016</v>
      </c>
      <c r="D92" s="21" t="s">
        <v>25</v>
      </c>
      <c r="E92" s="22">
        <v>45232</v>
      </c>
      <c r="F92" s="22"/>
      <c r="G92" s="23" t="s">
        <v>139</v>
      </c>
      <c r="H92" s="24">
        <v>20306828</v>
      </c>
      <c r="I92" s="25">
        <f>+H92*0.19</f>
        <v>3858297.32</v>
      </c>
      <c r="J92" s="25">
        <f t="shared" si="97"/>
        <v>24165125.32</v>
      </c>
      <c r="K92" s="167">
        <v>45234</v>
      </c>
      <c r="L92" s="26">
        <f>+E92+$L$3</f>
        <v>45253</v>
      </c>
      <c r="M92" s="26" t="s">
        <v>320</v>
      </c>
      <c r="N92" s="27"/>
      <c r="O92" s="26"/>
      <c r="P92" s="25">
        <f>+WEEKNUM(O92,21)</f>
        <v>52</v>
      </c>
      <c r="Q92" s="27"/>
      <c r="R92" s="27"/>
      <c r="S92" s="19"/>
    </row>
    <row r="93" spans="1:19" x14ac:dyDescent="0.25">
      <c r="A93" s="1"/>
      <c r="B93" s="21" t="s">
        <v>24</v>
      </c>
      <c r="C93" s="28">
        <v>19273603</v>
      </c>
      <c r="D93" s="21" t="s">
        <v>26</v>
      </c>
      <c r="E93" s="22">
        <v>45235</v>
      </c>
      <c r="F93" s="29">
        <v>0.1</v>
      </c>
      <c r="G93" s="23" t="s">
        <v>139</v>
      </c>
      <c r="H93" s="30">
        <f>+$H$92*F93</f>
        <v>2030682.8</v>
      </c>
      <c r="I93" s="25">
        <f t="shared" ref="I93" si="99">+H93*0.19</f>
        <v>385829.73200000002</v>
      </c>
      <c r="J93" s="25">
        <f t="shared" si="97"/>
        <v>-2416512.5320000001</v>
      </c>
      <c r="K93" s="167">
        <v>45237</v>
      </c>
      <c r="L93" s="26">
        <f>+E93+$L$3</f>
        <v>45256</v>
      </c>
      <c r="M93" s="26" t="s">
        <v>320</v>
      </c>
      <c r="N93" s="27"/>
      <c r="O93" s="26"/>
      <c r="P93" s="25"/>
      <c r="Q93" s="27"/>
      <c r="R93" s="27"/>
    </row>
    <row r="94" spans="1:19" x14ac:dyDescent="0.25">
      <c r="A94" s="1"/>
      <c r="B94" s="21" t="s">
        <v>24</v>
      </c>
      <c r="C94" s="28">
        <v>19274698</v>
      </c>
      <c r="D94" s="21" t="s">
        <v>26</v>
      </c>
      <c r="E94" s="22">
        <v>45235</v>
      </c>
      <c r="F94" s="29">
        <v>0.08</v>
      </c>
      <c r="G94" s="31" t="s">
        <v>139</v>
      </c>
      <c r="H94" s="32">
        <f t="shared" ref="H94:H95" si="100">+$H$92*F94</f>
        <v>1624546.24</v>
      </c>
      <c r="I94" s="25">
        <f>+H94*0.19</f>
        <v>308663.7856</v>
      </c>
      <c r="J94" s="25">
        <f>+IF(D94="Compra",-(H94+I94),(H94+I94))</f>
        <v>-1933210.0256000001</v>
      </c>
      <c r="K94" s="169">
        <v>45237</v>
      </c>
      <c r="L94" s="26">
        <f>+E94+$L$3</f>
        <v>45256</v>
      </c>
      <c r="M94" s="26" t="s">
        <v>320</v>
      </c>
      <c r="N94" s="27"/>
      <c r="O94" s="26"/>
      <c r="P94" s="25"/>
      <c r="Q94" s="3"/>
      <c r="R94" s="3"/>
    </row>
    <row r="95" spans="1:19" x14ac:dyDescent="0.25">
      <c r="A95" s="1"/>
      <c r="B95" s="33" t="s">
        <v>24</v>
      </c>
      <c r="C95" s="34">
        <v>19274208</v>
      </c>
      <c r="D95" s="33" t="s">
        <v>26</v>
      </c>
      <c r="E95" s="35">
        <v>45235</v>
      </c>
      <c r="F95" s="36">
        <v>0.04</v>
      </c>
      <c r="G95" s="37" t="s">
        <v>139</v>
      </c>
      <c r="H95" s="38">
        <f t="shared" si="100"/>
        <v>812273.12</v>
      </c>
      <c r="I95" s="39">
        <f t="shared" ref="I95" si="101">+H95*0.19</f>
        <v>154331.8928</v>
      </c>
      <c r="J95" s="39">
        <f t="shared" ref="J95:J99" si="102">+IF(D95="Compra",-(H95+I95),(H95+I95))</f>
        <v>-966605.01280000003</v>
      </c>
      <c r="K95" s="168">
        <v>45237</v>
      </c>
      <c r="L95" s="40">
        <f t="shared" ref="L95" si="103">+E95+$L$3</f>
        <v>45256</v>
      </c>
      <c r="M95" s="40" t="s">
        <v>320</v>
      </c>
      <c r="N95" s="41"/>
      <c r="O95" s="40"/>
      <c r="P95" s="39"/>
      <c r="Q95" s="7"/>
      <c r="R95" s="7"/>
    </row>
    <row r="96" spans="1:19" x14ac:dyDescent="0.25">
      <c r="A96" s="1"/>
      <c r="B96" s="146" t="s">
        <v>24</v>
      </c>
      <c r="C96" s="147">
        <v>19272422</v>
      </c>
      <c r="D96" s="146" t="s">
        <v>26</v>
      </c>
      <c r="E96" s="148">
        <v>45232</v>
      </c>
      <c r="F96" s="186">
        <v>1E-3</v>
      </c>
      <c r="G96" s="149" t="s">
        <v>139</v>
      </c>
      <c r="H96" s="150">
        <f>318638/1.19</f>
        <v>267763.02521008404</v>
      </c>
      <c r="I96" s="151">
        <f>+H96*0.19</f>
        <v>50874.97478991597</v>
      </c>
      <c r="J96" s="151">
        <f t="shared" si="102"/>
        <v>-318638</v>
      </c>
      <c r="K96" s="166">
        <v>45234</v>
      </c>
      <c r="L96" s="152"/>
      <c r="M96" s="152" t="s">
        <v>320</v>
      </c>
      <c r="N96" s="153"/>
      <c r="O96" s="152"/>
      <c r="P96" s="151"/>
      <c r="Q96" s="187"/>
      <c r="R96" s="187"/>
    </row>
    <row r="97" spans="1:19" x14ac:dyDescent="0.25">
      <c r="A97" s="1"/>
      <c r="B97" s="146" t="s">
        <v>24</v>
      </c>
      <c r="C97" s="147">
        <v>19272423</v>
      </c>
      <c r="D97" s="146" t="s">
        <v>26</v>
      </c>
      <c r="E97" s="148">
        <v>45232</v>
      </c>
      <c r="F97" s="186">
        <v>1E-3</v>
      </c>
      <c r="G97" s="149" t="s">
        <v>139</v>
      </c>
      <c r="H97" s="150">
        <f>10276/1.19</f>
        <v>8635.2941176470595</v>
      </c>
      <c r="I97" s="151">
        <f>+H97*0.19</f>
        <v>1640.7058823529412</v>
      </c>
      <c r="J97" s="151">
        <f t="shared" ref="J97" si="104">+IF(D97="Compra",-(H97+I97),(H97+I97))</f>
        <v>-10276</v>
      </c>
      <c r="K97" s="166">
        <v>45234</v>
      </c>
      <c r="L97" s="152"/>
      <c r="M97" s="152" t="s">
        <v>320</v>
      </c>
      <c r="N97" s="153"/>
      <c r="O97" s="152"/>
      <c r="P97" s="151"/>
      <c r="Q97" s="187"/>
      <c r="R97" s="187"/>
    </row>
    <row r="98" spans="1:19" x14ac:dyDescent="0.25">
      <c r="A98" s="1"/>
      <c r="B98" s="21" t="s">
        <v>24</v>
      </c>
      <c r="C98" s="28">
        <v>1031</v>
      </c>
      <c r="D98" s="21" t="s">
        <v>25</v>
      </c>
      <c r="E98" s="22">
        <v>45237</v>
      </c>
      <c r="F98" s="22"/>
      <c r="G98" s="23" t="s">
        <v>139</v>
      </c>
      <c r="H98" s="24">
        <v>20455588</v>
      </c>
      <c r="I98" s="25">
        <f>+H98*0.19</f>
        <v>3886561.72</v>
      </c>
      <c r="J98" s="25">
        <f t="shared" si="102"/>
        <v>24342149.719999999</v>
      </c>
      <c r="K98" s="167">
        <v>45239</v>
      </c>
      <c r="L98" s="26">
        <f>+E98+$L$3</f>
        <v>45258</v>
      </c>
      <c r="M98" s="26" t="s">
        <v>320</v>
      </c>
      <c r="N98" s="27"/>
      <c r="O98" s="26"/>
      <c r="P98" s="25">
        <f>+WEEKNUM(O98,21)</f>
        <v>52</v>
      </c>
      <c r="Q98" s="27"/>
      <c r="R98" s="27"/>
      <c r="S98" s="19"/>
    </row>
    <row r="99" spans="1:19" x14ac:dyDescent="0.25">
      <c r="A99" s="1"/>
      <c r="B99" s="21" t="s">
        <v>24</v>
      </c>
      <c r="C99" s="28">
        <v>19277069</v>
      </c>
      <c r="D99" s="21" t="s">
        <v>26</v>
      </c>
      <c r="E99" s="22">
        <v>45242</v>
      </c>
      <c r="F99" s="29">
        <v>0.1</v>
      </c>
      <c r="G99" s="23" t="s">
        <v>139</v>
      </c>
      <c r="H99" s="30">
        <f>+$H$98*F99</f>
        <v>2045558.8</v>
      </c>
      <c r="I99" s="25">
        <f t="shared" ref="I99" si="105">+H99*0.19</f>
        <v>388656.17200000002</v>
      </c>
      <c r="J99" s="25">
        <f t="shared" si="102"/>
        <v>-2434214.9720000001</v>
      </c>
      <c r="K99" s="167">
        <v>45245</v>
      </c>
      <c r="L99" s="26">
        <f>+E99+$L$3</f>
        <v>45263</v>
      </c>
      <c r="M99" s="26" t="s">
        <v>320</v>
      </c>
      <c r="N99" s="27"/>
      <c r="O99" s="26"/>
      <c r="P99" s="25"/>
      <c r="Q99" s="27"/>
      <c r="R99" s="27"/>
    </row>
    <row r="100" spans="1:19" x14ac:dyDescent="0.25">
      <c r="A100" s="1"/>
      <c r="B100" s="21" t="s">
        <v>24</v>
      </c>
      <c r="C100" s="28">
        <v>19278147</v>
      </c>
      <c r="D100" s="21" t="s">
        <v>26</v>
      </c>
      <c r="E100" s="22">
        <v>45242</v>
      </c>
      <c r="F100" s="29">
        <v>0.08</v>
      </c>
      <c r="G100" s="31" t="s">
        <v>139</v>
      </c>
      <c r="H100" s="32">
        <f t="shared" ref="H100:H101" si="106">+$H$98*F100</f>
        <v>1636447.04</v>
      </c>
      <c r="I100" s="25">
        <f>+H100*0.19</f>
        <v>310924.9376</v>
      </c>
      <c r="J100" s="25">
        <f>+IF(D100="Compra",-(H100+I100),(H100+I100))</f>
        <v>-1947371.9776000001</v>
      </c>
      <c r="K100" s="167">
        <v>45245</v>
      </c>
      <c r="L100" s="26">
        <f>+E100+$L$3</f>
        <v>45263</v>
      </c>
      <c r="M100" s="26" t="s">
        <v>320</v>
      </c>
      <c r="N100" s="27"/>
      <c r="O100" s="26"/>
      <c r="P100" s="25"/>
      <c r="Q100" s="3"/>
      <c r="R100" s="3"/>
    </row>
    <row r="101" spans="1:19" x14ac:dyDescent="0.25">
      <c r="A101" s="1"/>
      <c r="B101" s="33" t="s">
        <v>24</v>
      </c>
      <c r="C101" s="34">
        <v>19277739</v>
      </c>
      <c r="D101" s="33" t="s">
        <v>26</v>
      </c>
      <c r="E101" s="35">
        <v>45242</v>
      </c>
      <c r="F101" s="36">
        <v>0.04</v>
      </c>
      <c r="G101" s="37" t="s">
        <v>139</v>
      </c>
      <c r="H101" s="38">
        <f t="shared" si="106"/>
        <v>818223.52</v>
      </c>
      <c r="I101" s="39">
        <f t="shared" ref="I101" si="107">+H101*0.19</f>
        <v>155462.4688</v>
      </c>
      <c r="J101" s="39">
        <f t="shared" ref="J101:J103" si="108">+IF(D101="Compra",-(H101+I101),(H101+I101))</f>
        <v>-973685.98880000005</v>
      </c>
      <c r="K101" s="168">
        <v>45245</v>
      </c>
      <c r="L101" s="40">
        <f t="shared" ref="L101" si="109">+E101+$L$3</f>
        <v>45263</v>
      </c>
      <c r="M101" s="40" t="s">
        <v>320</v>
      </c>
      <c r="N101" s="41"/>
      <c r="O101" s="40"/>
      <c r="P101" s="39"/>
      <c r="Q101" s="7"/>
      <c r="R101" s="7"/>
    </row>
    <row r="102" spans="1:19" x14ac:dyDescent="0.25">
      <c r="A102" s="1"/>
      <c r="B102" s="21" t="s">
        <v>24</v>
      </c>
      <c r="C102" s="28">
        <v>1040</v>
      </c>
      <c r="D102" s="21" t="s">
        <v>25</v>
      </c>
      <c r="E102" s="22">
        <v>45240</v>
      </c>
      <c r="F102" s="22"/>
      <c r="G102" s="23" t="s">
        <v>139</v>
      </c>
      <c r="H102" s="24">
        <v>20184632</v>
      </c>
      <c r="I102" s="25">
        <f>+H102*0.19</f>
        <v>3835080.08</v>
      </c>
      <c r="J102" s="25">
        <f t="shared" si="108"/>
        <v>24019712.079999998</v>
      </c>
      <c r="K102" s="167">
        <v>45243</v>
      </c>
      <c r="L102" s="26">
        <f>+E102+$L$3</f>
        <v>45261</v>
      </c>
      <c r="M102" s="26" t="s">
        <v>320</v>
      </c>
      <c r="N102" s="27"/>
      <c r="O102" s="26"/>
      <c r="P102" s="25">
        <f>+WEEKNUM(O102,21)</f>
        <v>52</v>
      </c>
      <c r="Q102" s="27"/>
      <c r="R102" s="27"/>
      <c r="S102" s="19"/>
    </row>
    <row r="103" spans="1:19" x14ac:dyDescent="0.25">
      <c r="A103" s="1"/>
      <c r="B103" s="21" t="s">
        <v>24</v>
      </c>
      <c r="C103" s="28">
        <v>19277069</v>
      </c>
      <c r="D103" s="21" t="s">
        <v>26</v>
      </c>
      <c r="E103" s="22">
        <v>45242</v>
      </c>
      <c r="F103" s="29">
        <v>0.1</v>
      </c>
      <c r="G103" s="23" t="s">
        <v>139</v>
      </c>
      <c r="H103" s="30">
        <f>+$H$102*F103</f>
        <v>2018463.2000000002</v>
      </c>
      <c r="I103" s="25">
        <f t="shared" ref="I103" si="110">+H103*0.19</f>
        <v>383508.00800000003</v>
      </c>
      <c r="J103" s="25">
        <f t="shared" si="108"/>
        <v>-2401971.2080000001</v>
      </c>
      <c r="K103" s="167">
        <v>45245</v>
      </c>
      <c r="L103" s="26">
        <f>+E103+$L$3</f>
        <v>45263</v>
      </c>
      <c r="M103" s="26" t="s">
        <v>320</v>
      </c>
      <c r="N103" s="27"/>
      <c r="O103" s="26"/>
      <c r="P103" s="25"/>
      <c r="Q103" s="27"/>
      <c r="R103" s="27"/>
    </row>
    <row r="104" spans="1:19" x14ac:dyDescent="0.25">
      <c r="A104" s="1"/>
      <c r="B104" s="21" t="s">
        <v>24</v>
      </c>
      <c r="C104" s="28">
        <v>19278147</v>
      </c>
      <c r="D104" s="21" t="s">
        <v>26</v>
      </c>
      <c r="E104" s="22">
        <v>45242</v>
      </c>
      <c r="F104" s="29">
        <v>0.08</v>
      </c>
      <c r="G104" s="31" t="s">
        <v>139</v>
      </c>
      <c r="H104" s="32">
        <f t="shared" ref="H104:H105" si="111">+$H$102*F104</f>
        <v>1614770.56</v>
      </c>
      <c r="I104" s="25">
        <f>+H104*0.19</f>
        <v>306806.40640000004</v>
      </c>
      <c r="J104" s="25">
        <f>+IF(D104="Compra",-(H104+I104),(H104+I104))</f>
        <v>-1921576.9664</v>
      </c>
      <c r="K104" s="167">
        <v>45245</v>
      </c>
      <c r="L104" s="26">
        <f>+E104+$L$3</f>
        <v>45263</v>
      </c>
      <c r="M104" s="26" t="s">
        <v>320</v>
      </c>
      <c r="N104" s="27"/>
      <c r="O104" s="26"/>
      <c r="P104" s="25"/>
      <c r="Q104" s="3"/>
      <c r="R104" s="3"/>
    </row>
    <row r="105" spans="1:19" x14ac:dyDescent="0.25">
      <c r="A105" s="1"/>
      <c r="B105" s="33" t="s">
        <v>24</v>
      </c>
      <c r="C105" s="34">
        <v>19277739</v>
      </c>
      <c r="D105" s="33" t="s">
        <v>26</v>
      </c>
      <c r="E105" s="35">
        <v>45242</v>
      </c>
      <c r="F105" s="36">
        <v>0.04</v>
      </c>
      <c r="G105" s="37" t="s">
        <v>139</v>
      </c>
      <c r="H105" s="38">
        <f t="shared" si="111"/>
        <v>807385.28</v>
      </c>
      <c r="I105" s="39">
        <f t="shared" ref="I105" si="112">+H105*0.19</f>
        <v>153403.20320000002</v>
      </c>
      <c r="J105" s="39">
        <f t="shared" ref="J105:J107" si="113">+IF(D105="Compra",-(H105+I105),(H105+I105))</f>
        <v>-960788.48320000002</v>
      </c>
      <c r="K105" s="168">
        <v>45245</v>
      </c>
      <c r="L105" s="40">
        <f t="shared" ref="L105" si="114">+E105+$L$3</f>
        <v>45263</v>
      </c>
      <c r="M105" s="40" t="s">
        <v>320</v>
      </c>
      <c r="N105" s="41"/>
      <c r="O105" s="40"/>
      <c r="P105" s="39"/>
      <c r="Q105" s="7"/>
      <c r="R105" s="7"/>
    </row>
    <row r="106" spans="1:19" x14ac:dyDescent="0.25">
      <c r="A106" s="1"/>
      <c r="B106" s="21" t="s">
        <v>24</v>
      </c>
      <c r="C106" s="28">
        <v>1041</v>
      </c>
      <c r="D106" s="21" t="s">
        <v>25</v>
      </c>
      <c r="E106" s="22">
        <v>45240</v>
      </c>
      <c r="F106" s="22"/>
      <c r="G106" s="23" t="s">
        <v>139</v>
      </c>
      <c r="H106" s="24">
        <v>10512800</v>
      </c>
      <c r="I106" s="25">
        <f>+H106*0.19</f>
        <v>1997432</v>
      </c>
      <c r="J106" s="25">
        <f t="shared" si="113"/>
        <v>12510232</v>
      </c>
      <c r="K106" s="167">
        <v>45243</v>
      </c>
      <c r="L106" s="26">
        <f>+E106+$L$3</f>
        <v>45261</v>
      </c>
      <c r="M106" s="26" t="s">
        <v>320</v>
      </c>
      <c r="N106" s="27"/>
      <c r="O106" s="26"/>
      <c r="P106" s="25">
        <f>+WEEKNUM(O106,21)</f>
        <v>52</v>
      </c>
      <c r="Q106" s="27"/>
      <c r="R106" s="27"/>
      <c r="S106" s="19"/>
    </row>
    <row r="107" spans="1:19" x14ac:dyDescent="0.25">
      <c r="A107" s="1"/>
      <c r="B107" s="21" t="s">
        <v>24</v>
      </c>
      <c r="C107" s="28">
        <v>19277069</v>
      </c>
      <c r="D107" s="21" t="s">
        <v>26</v>
      </c>
      <c r="E107" s="22">
        <v>45242</v>
      </c>
      <c r="F107" s="29">
        <v>0.1</v>
      </c>
      <c r="G107" s="23" t="s">
        <v>139</v>
      </c>
      <c r="H107" s="30">
        <f>+$H$106*F107</f>
        <v>1051280</v>
      </c>
      <c r="I107" s="25">
        <f t="shared" ref="I107" si="115">+H107*0.19</f>
        <v>199743.2</v>
      </c>
      <c r="J107" s="25">
        <f t="shared" si="113"/>
        <v>-1251023.2</v>
      </c>
      <c r="K107" s="167">
        <v>45245</v>
      </c>
      <c r="L107" s="26">
        <f>+E107+$L$3</f>
        <v>45263</v>
      </c>
      <c r="M107" s="26" t="s">
        <v>320</v>
      </c>
      <c r="N107" s="27"/>
      <c r="O107" s="26"/>
      <c r="P107" s="25"/>
      <c r="Q107" s="27"/>
      <c r="R107" s="27"/>
    </row>
    <row r="108" spans="1:19" x14ac:dyDescent="0.25">
      <c r="A108" s="1"/>
      <c r="B108" s="21" t="s">
        <v>24</v>
      </c>
      <c r="C108" s="28">
        <v>19278147</v>
      </c>
      <c r="D108" s="21" t="s">
        <v>26</v>
      </c>
      <c r="E108" s="22">
        <v>45242</v>
      </c>
      <c r="F108" s="29">
        <v>0.08</v>
      </c>
      <c r="G108" s="31" t="s">
        <v>139</v>
      </c>
      <c r="H108" s="32">
        <f t="shared" ref="H108:H109" si="116">+$H$106*F108</f>
        <v>841024</v>
      </c>
      <c r="I108" s="25">
        <f>+H108*0.19</f>
        <v>159794.56</v>
      </c>
      <c r="J108" s="25">
        <f>+IF(D108="Compra",-(H108+I108),(H108+I108))</f>
        <v>-1000818.56</v>
      </c>
      <c r="K108" s="167">
        <v>45245</v>
      </c>
      <c r="L108" s="26">
        <f>+E108+$L$3</f>
        <v>45263</v>
      </c>
      <c r="M108" s="26" t="s">
        <v>320</v>
      </c>
      <c r="N108" s="27"/>
      <c r="O108" s="26"/>
      <c r="P108" s="25"/>
      <c r="Q108" s="3"/>
      <c r="R108" s="3"/>
    </row>
    <row r="109" spans="1:19" x14ac:dyDescent="0.25">
      <c r="A109" s="1"/>
      <c r="B109" s="33" t="s">
        <v>24</v>
      </c>
      <c r="C109" s="34">
        <v>19277739</v>
      </c>
      <c r="D109" s="33" t="s">
        <v>26</v>
      </c>
      <c r="E109" s="35">
        <v>45242</v>
      </c>
      <c r="F109" s="36">
        <v>0.04</v>
      </c>
      <c r="G109" s="37" t="s">
        <v>139</v>
      </c>
      <c r="H109" s="38">
        <f t="shared" si="116"/>
        <v>420512</v>
      </c>
      <c r="I109" s="39">
        <f t="shared" ref="I109" si="117">+H109*0.19</f>
        <v>79897.279999999999</v>
      </c>
      <c r="J109" s="39">
        <f t="shared" ref="J109" si="118">+IF(D109="Compra",-(H109+I109),(H109+I109))</f>
        <v>-500409.28</v>
      </c>
      <c r="K109" s="168">
        <v>45245</v>
      </c>
      <c r="L109" s="40">
        <f t="shared" ref="L109" si="119">+E109+$L$3</f>
        <v>45263</v>
      </c>
      <c r="M109" s="40" t="s">
        <v>320</v>
      </c>
      <c r="N109" s="41"/>
      <c r="O109" s="40"/>
      <c r="P109" s="39"/>
      <c r="Q109" s="7"/>
      <c r="R109" s="7"/>
    </row>
    <row r="110" spans="1:19" ht="14.25" customHeight="1" x14ac:dyDescent="0.25">
      <c r="A110" s="1">
        <f>+WEEKNUM(E110,21)</f>
        <v>46</v>
      </c>
      <c r="B110" s="21" t="s">
        <v>24</v>
      </c>
      <c r="C110" s="28">
        <v>1044</v>
      </c>
      <c r="D110" s="21" t="s">
        <v>25</v>
      </c>
      <c r="E110" s="22">
        <v>45243</v>
      </c>
      <c r="F110" s="22"/>
      <c r="G110" s="23" t="s">
        <v>139</v>
      </c>
      <c r="H110" s="24">
        <v>40533032</v>
      </c>
      <c r="I110" s="25">
        <f>+H110*0.19</f>
        <v>7701276.0800000001</v>
      </c>
      <c r="J110" s="25">
        <f>+IF(D110="Compra",-(H110+I110),(H110+I110))</f>
        <v>48234308.079999998</v>
      </c>
      <c r="K110" s="195">
        <v>45245</v>
      </c>
      <c r="L110" s="26">
        <f>+E110+$L$3</f>
        <v>45264</v>
      </c>
      <c r="M110" s="26" t="s">
        <v>320</v>
      </c>
      <c r="N110" s="27"/>
      <c r="O110" s="26">
        <v>45204</v>
      </c>
      <c r="P110" s="25">
        <f t="shared" ref="P110:P115" si="120">+WEEKNUM(O110,21)</f>
        <v>40</v>
      </c>
      <c r="Q110" s="27"/>
      <c r="R110" s="27" t="s">
        <v>303</v>
      </c>
      <c r="S110" s="19"/>
    </row>
    <row r="111" spans="1:19" s="3" customFormat="1" ht="12" x14ac:dyDescent="0.2">
      <c r="A111" s="1"/>
      <c r="B111" s="21" t="s">
        <v>24</v>
      </c>
      <c r="C111" s="161" t="s">
        <v>318</v>
      </c>
      <c r="D111" s="136" t="s">
        <v>137</v>
      </c>
      <c r="E111" s="162">
        <v>45244</v>
      </c>
      <c r="G111" s="138" t="s">
        <v>139</v>
      </c>
      <c r="H111" s="139">
        <f>- 9014609/1.19</f>
        <v>-7575301.6806722693</v>
      </c>
      <c r="I111" s="139">
        <f t="shared" ref="I111" si="121">+H111*0.19</f>
        <v>-1439307.3193277312</v>
      </c>
      <c r="J111" s="139">
        <f>+H111+I111</f>
        <v>-9014609</v>
      </c>
      <c r="K111" s="196">
        <v>45245</v>
      </c>
      <c r="L111" s="26">
        <v>45245</v>
      </c>
      <c r="M111" s="26" t="s">
        <v>320</v>
      </c>
      <c r="O111" s="40">
        <v>45204</v>
      </c>
      <c r="P111" s="25">
        <f t="shared" si="120"/>
        <v>40</v>
      </c>
      <c r="R111" s="27" t="s">
        <v>303</v>
      </c>
    </row>
    <row r="112" spans="1:19" s="3" customFormat="1" ht="12" x14ac:dyDescent="0.2">
      <c r="A112" s="1"/>
      <c r="B112" s="21" t="s">
        <v>24</v>
      </c>
      <c r="C112" s="137"/>
      <c r="D112" s="136" t="s">
        <v>91</v>
      </c>
      <c r="E112" s="141"/>
      <c r="G112" s="142" t="s">
        <v>359</v>
      </c>
      <c r="H112" s="143">
        <f>+SUM(H110:H111)</f>
        <v>32957730.319327731</v>
      </c>
      <c r="I112" s="143">
        <f>+SUM(I110:I111)</f>
        <v>6261968.7606722694</v>
      </c>
      <c r="J112" s="143">
        <f>+SUM(J110:J111)</f>
        <v>39219699.079999998</v>
      </c>
      <c r="K112" s="197"/>
      <c r="L112" s="145"/>
      <c r="M112" s="145" t="s">
        <v>138</v>
      </c>
      <c r="O112" s="40">
        <v>45204</v>
      </c>
      <c r="P112" s="39">
        <f t="shared" si="120"/>
        <v>40</v>
      </c>
      <c r="Q112" s="7"/>
      <c r="R112" s="41" t="s">
        <v>303</v>
      </c>
    </row>
    <row r="113" spans="1:19" x14ac:dyDescent="0.25">
      <c r="A113" s="1"/>
      <c r="B113" s="21" t="s">
        <v>24</v>
      </c>
      <c r="C113" s="28">
        <v>19280792</v>
      </c>
      <c r="D113" s="21" t="s">
        <v>26</v>
      </c>
      <c r="E113" s="22">
        <v>45249</v>
      </c>
      <c r="F113" s="29">
        <v>0.1</v>
      </c>
      <c r="G113" s="23" t="s">
        <v>139</v>
      </c>
      <c r="H113" s="30">
        <f>+$H$112*F113</f>
        <v>3295773.0319327731</v>
      </c>
      <c r="I113" s="25">
        <f>+H113*0.19</f>
        <v>626196.87606722687</v>
      </c>
      <c r="J113" s="25">
        <f>+IF(D113="Compra",-(H113+I113),(H113+I113))</f>
        <v>-3921969.9079999998</v>
      </c>
      <c r="K113" s="195">
        <v>45251</v>
      </c>
      <c r="L113" s="26">
        <f>+E113+$L$3</f>
        <v>45270</v>
      </c>
      <c r="M113" s="26" t="s">
        <v>382</v>
      </c>
      <c r="N113" s="27"/>
      <c r="O113" s="26">
        <v>45204</v>
      </c>
      <c r="P113" s="25">
        <f t="shared" si="120"/>
        <v>40</v>
      </c>
      <c r="Q113" s="27"/>
      <c r="R113" s="27" t="s">
        <v>303</v>
      </c>
    </row>
    <row r="114" spans="1:19" x14ac:dyDescent="0.25">
      <c r="A114" s="1"/>
      <c r="B114" s="21" t="s">
        <v>24</v>
      </c>
      <c r="C114" s="28">
        <v>19281982</v>
      </c>
      <c r="D114" s="21" t="s">
        <v>26</v>
      </c>
      <c r="E114" s="22">
        <v>45249</v>
      </c>
      <c r="F114" s="29">
        <v>0.08</v>
      </c>
      <c r="G114" s="31" t="s">
        <v>139</v>
      </c>
      <c r="H114" s="32">
        <f>+$H$112*F114</f>
        <v>2636618.4255462186</v>
      </c>
      <c r="I114" s="25">
        <f>+H114*0.19</f>
        <v>500957.50085378153</v>
      </c>
      <c r="J114" s="25">
        <f>+IF(D114="Compra",-(H114+I114),(H114+I114))</f>
        <v>-3137575.9264000002</v>
      </c>
      <c r="K114" s="201">
        <v>45251</v>
      </c>
      <c r="L114" s="26">
        <f>+E114+$L$3</f>
        <v>45270</v>
      </c>
      <c r="M114" s="26" t="s">
        <v>382</v>
      </c>
      <c r="N114" s="27"/>
      <c r="O114" s="26">
        <v>45204</v>
      </c>
      <c r="P114" s="25">
        <f t="shared" si="120"/>
        <v>40</v>
      </c>
      <c r="Q114" s="3"/>
      <c r="R114" s="27" t="s">
        <v>303</v>
      </c>
    </row>
    <row r="115" spans="1:19" x14ac:dyDescent="0.25">
      <c r="A115" s="213" t="s">
        <v>262</v>
      </c>
      <c r="B115" s="33" t="s">
        <v>24</v>
      </c>
      <c r="C115" s="34">
        <v>19281508</v>
      </c>
      <c r="D115" s="33" t="s">
        <v>26</v>
      </c>
      <c r="E115" s="35">
        <v>45249</v>
      </c>
      <c r="F115" s="36">
        <v>0.04</v>
      </c>
      <c r="G115" s="37" t="s">
        <v>139</v>
      </c>
      <c r="H115" s="38">
        <f>+$H$112*F115</f>
        <v>1318309.2127731093</v>
      </c>
      <c r="I115" s="39">
        <f t="shared" ref="I115" si="122">+H115*0.19</f>
        <v>250478.75042689077</v>
      </c>
      <c r="J115" s="39">
        <f t="shared" ref="J115" si="123">+IF(D115="Compra",-(H115+I115),(H115+I115))</f>
        <v>-1568787.9632000001</v>
      </c>
      <c r="K115" s="198">
        <v>45251</v>
      </c>
      <c r="L115" s="40">
        <f t="shared" ref="L115" si="124">+E115+$L$3</f>
        <v>45270</v>
      </c>
      <c r="M115" s="40" t="s">
        <v>382</v>
      </c>
      <c r="N115" s="41"/>
      <c r="O115" s="40">
        <v>45204</v>
      </c>
      <c r="P115" s="39">
        <f t="shared" si="120"/>
        <v>40</v>
      </c>
      <c r="Q115" s="7"/>
      <c r="R115" s="41" t="s">
        <v>303</v>
      </c>
    </row>
    <row r="116" spans="1:19" ht="14.25" customHeight="1" x14ac:dyDescent="0.25">
      <c r="A116" s="1">
        <f>+WEEKNUM(E116,21)</f>
        <v>46</v>
      </c>
      <c r="B116" s="21" t="s">
        <v>24</v>
      </c>
      <c r="C116" s="28">
        <v>1045</v>
      </c>
      <c r="D116" s="21" t="s">
        <v>25</v>
      </c>
      <c r="E116" s="22">
        <v>45243</v>
      </c>
      <c r="F116" s="22"/>
      <c r="G116" s="23" t="s">
        <v>139</v>
      </c>
      <c r="H116" s="24">
        <v>628692</v>
      </c>
      <c r="I116" s="25">
        <f>+H116*0.19</f>
        <v>119451.48</v>
      </c>
      <c r="J116" s="25">
        <f>+IF(D116="Compra",-(H116+I116),(H116+I116))</f>
        <v>748143.48</v>
      </c>
      <c r="K116" s="195">
        <v>45245</v>
      </c>
      <c r="L116" s="26">
        <f>+E116+$L$3</f>
        <v>45264</v>
      </c>
      <c r="M116" s="26" t="s">
        <v>320</v>
      </c>
      <c r="N116" s="27"/>
      <c r="O116" s="26">
        <v>45204</v>
      </c>
      <c r="P116" s="25">
        <f t="shared" ref="P116:P121" si="125">+WEEKNUM(O116,21)</f>
        <v>40</v>
      </c>
      <c r="Q116" s="27"/>
      <c r="R116" s="27" t="s">
        <v>303</v>
      </c>
      <c r="S116" s="19"/>
    </row>
    <row r="117" spans="1:19" s="3" customFormat="1" ht="12" x14ac:dyDescent="0.2">
      <c r="A117" s="1"/>
      <c r="B117" s="21" t="s">
        <v>24</v>
      </c>
      <c r="C117" s="161" t="s">
        <v>319</v>
      </c>
      <c r="D117" s="136" t="s">
        <v>137</v>
      </c>
      <c r="E117" s="162">
        <v>45244</v>
      </c>
      <c r="G117" s="138" t="s">
        <v>139</v>
      </c>
      <c r="H117" s="139">
        <f>- 145413/1.19</f>
        <v>-122195.79831932773</v>
      </c>
      <c r="I117" s="139">
        <f t="shared" ref="I117" si="126">+H117*0.19</f>
        <v>-23217.201680672268</v>
      </c>
      <c r="J117" s="139">
        <f>+H117+I117</f>
        <v>-145413</v>
      </c>
      <c r="K117" s="196">
        <v>45245</v>
      </c>
      <c r="L117" s="26">
        <v>45245</v>
      </c>
      <c r="M117" s="26" t="s">
        <v>320</v>
      </c>
      <c r="O117" s="40">
        <v>45204</v>
      </c>
      <c r="P117" s="25">
        <f t="shared" si="125"/>
        <v>40</v>
      </c>
      <c r="R117" s="27" t="s">
        <v>303</v>
      </c>
    </row>
    <row r="118" spans="1:19" s="3" customFormat="1" ht="12" x14ac:dyDescent="0.2">
      <c r="A118" s="1"/>
      <c r="B118" s="21" t="s">
        <v>24</v>
      </c>
      <c r="C118" s="137"/>
      <c r="D118" s="136" t="s">
        <v>91</v>
      </c>
      <c r="E118" s="141"/>
      <c r="G118" s="142" t="s">
        <v>359</v>
      </c>
      <c r="H118" s="143">
        <f>+SUM(H116:H117)</f>
        <v>506496.20168067224</v>
      </c>
      <c r="I118" s="143">
        <f>+SUM(I116:I117)</f>
        <v>96234.278319327728</v>
      </c>
      <c r="J118" s="143">
        <f>+SUM(J116:J117)</f>
        <v>602730.48</v>
      </c>
      <c r="K118" s="197"/>
      <c r="L118" s="145"/>
      <c r="M118" s="145" t="s">
        <v>138</v>
      </c>
      <c r="O118" s="40">
        <v>45204</v>
      </c>
      <c r="P118" s="39">
        <f t="shared" si="125"/>
        <v>40</v>
      </c>
      <c r="Q118" s="7"/>
      <c r="R118" s="41" t="s">
        <v>303</v>
      </c>
    </row>
    <row r="119" spans="1:19" x14ac:dyDescent="0.25">
      <c r="A119" s="1"/>
      <c r="B119" s="21" t="s">
        <v>24</v>
      </c>
      <c r="C119" s="28">
        <v>19280792</v>
      </c>
      <c r="D119" s="21" t="s">
        <v>26</v>
      </c>
      <c r="E119" s="22">
        <v>45249</v>
      </c>
      <c r="F119" s="29">
        <v>0.1</v>
      </c>
      <c r="G119" s="23" t="s">
        <v>139</v>
      </c>
      <c r="H119" s="30">
        <f>+$H$118*F119</f>
        <v>50649.620168067224</v>
      </c>
      <c r="I119" s="25">
        <f>+H119*0.19</f>
        <v>9623.4278319327732</v>
      </c>
      <c r="J119" s="25">
        <f>+IF(D119="Compra",-(H119+I119),(H119+I119))</f>
        <v>-60273.047999999995</v>
      </c>
      <c r="K119" s="195">
        <v>45251</v>
      </c>
      <c r="L119" s="26">
        <f>+E119+$L$3</f>
        <v>45270</v>
      </c>
      <c r="M119" s="26" t="s">
        <v>382</v>
      </c>
      <c r="N119" s="27"/>
      <c r="O119" s="26">
        <v>45204</v>
      </c>
      <c r="P119" s="25">
        <f t="shared" si="125"/>
        <v>40</v>
      </c>
      <c r="Q119" s="27"/>
      <c r="R119" s="27" t="s">
        <v>303</v>
      </c>
    </row>
    <row r="120" spans="1:19" x14ac:dyDescent="0.25">
      <c r="A120" s="1"/>
      <c r="B120" s="21" t="s">
        <v>24</v>
      </c>
      <c r="C120" s="28">
        <v>19281982</v>
      </c>
      <c r="D120" s="21" t="s">
        <v>26</v>
      </c>
      <c r="E120" s="22">
        <v>45249</v>
      </c>
      <c r="F120" s="29">
        <v>0.08</v>
      </c>
      <c r="G120" s="31" t="s">
        <v>139</v>
      </c>
      <c r="H120" s="32">
        <f t="shared" ref="H120:H121" si="127">+$H$118*F120</f>
        <v>40519.696134453778</v>
      </c>
      <c r="I120" s="25">
        <f>+H120*0.19</f>
        <v>7698.7422655462178</v>
      </c>
      <c r="J120" s="25">
        <f>+IF(D120="Compra",-(H120+I120),(H120+I120))</f>
        <v>-48218.438399999999</v>
      </c>
      <c r="K120" s="201">
        <v>45251</v>
      </c>
      <c r="L120" s="26">
        <f>+E120+$L$3</f>
        <v>45270</v>
      </c>
      <c r="M120" s="26" t="s">
        <v>382</v>
      </c>
      <c r="N120" s="27"/>
      <c r="O120" s="26">
        <v>45204</v>
      </c>
      <c r="P120" s="25">
        <f t="shared" si="125"/>
        <v>40</v>
      </c>
      <c r="Q120" s="3"/>
      <c r="R120" s="27" t="s">
        <v>303</v>
      </c>
    </row>
    <row r="121" spans="1:19" x14ac:dyDescent="0.25">
      <c r="A121" s="1"/>
      <c r="B121" s="33" t="s">
        <v>24</v>
      </c>
      <c r="C121" s="34">
        <v>19281508</v>
      </c>
      <c r="D121" s="33" t="s">
        <v>26</v>
      </c>
      <c r="E121" s="35">
        <v>45249</v>
      </c>
      <c r="F121" s="36">
        <v>0.04</v>
      </c>
      <c r="G121" s="37" t="s">
        <v>139</v>
      </c>
      <c r="H121" s="38">
        <f t="shared" si="127"/>
        <v>20259.848067226889</v>
      </c>
      <c r="I121" s="39">
        <f t="shared" ref="I121" si="128">+H121*0.19</f>
        <v>3849.3711327731089</v>
      </c>
      <c r="J121" s="39">
        <f t="shared" ref="J121" si="129">+IF(D121="Compra",-(H121+I121),(H121+I121))</f>
        <v>-24109.2192</v>
      </c>
      <c r="K121" s="198">
        <v>45251</v>
      </c>
      <c r="L121" s="40">
        <f t="shared" ref="L121" si="130">+E121+$L$3</f>
        <v>45270</v>
      </c>
      <c r="M121" s="40" t="s">
        <v>382</v>
      </c>
      <c r="N121" s="41"/>
      <c r="O121" s="40">
        <v>45204</v>
      </c>
      <c r="P121" s="39">
        <f t="shared" si="125"/>
        <v>40</v>
      </c>
      <c r="Q121" s="7"/>
      <c r="R121" s="41" t="s">
        <v>303</v>
      </c>
    </row>
    <row r="122" spans="1:19" x14ac:dyDescent="0.25">
      <c r="A122" s="1"/>
      <c r="B122" s="21" t="s">
        <v>24</v>
      </c>
      <c r="C122" s="28">
        <v>1049</v>
      </c>
      <c r="D122" s="21" t="s">
        <v>25</v>
      </c>
      <c r="E122" s="22">
        <v>45246</v>
      </c>
      <c r="F122" s="22"/>
      <c r="G122" s="23" t="s">
        <v>139</v>
      </c>
      <c r="H122" s="24">
        <v>18664060</v>
      </c>
      <c r="I122" s="25">
        <f>+H122*0.19</f>
        <v>3546171.4</v>
      </c>
      <c r="J122" s="25">
        <f t="shared" ref="J122:J123" si="131">+IF(D122="Compra",-(H122+I122),(H122+I122))</f>
        <v>22210231.399999999</v>
      </c>
      <c r="K122" s="167">
        <v>45250</v>
      </c>
      <c r="L122" s="26">
        <f>+E122+$L$3</f>
        <v>45267</v>
      </c>
      <c r="M122" s="26" t="s">
        <v>382</v>
      </c>
      <c r="N122" s="27"/>
      <c r="O122" s="26"/>
      <c r="P122" s="25">
        <f>+WEEKNUM(O122,21)</f>
        <v>52</v>
      </c>
      <c r="Q122" s="27"/>
      <c r="R122" s="27"/>
      <c r="S122" s="19"/>
    </row>
    <row r="123" spans="1:19" x14ac:dyDescent="0.25">
      <c r="A123" s="1"/>
      <c r="B123" s="21" t="s">
        <v>24</v>
      </c>
      <c r="C123" s="28">
        <v>19280792</v>
      </c>
      <c r="D123" s="21" t="s">
        <v>26</v>
      </c>
      <c r="E123" s="22">
        <v>45249</v>
      </c>
      <c r="F123" s="29">
        <v>0.1</v>
      </c>
      <c r="G123" s="23" t="s">
        <v>139</v>
      </c>
      <c r="H123" s="30">
        <f>+$H$122*F123</f>
        <v>1866406</v>
      </c>
      <c r="I123" s="25">
        <f t="shared" ref="I123" si="132">+H123*0.19</f>
        <v>354617.14</v>
      </c>
      <c r="J123" s="25">
        <f t="shared" si="131"/>
        <v>-2221023.14</v>
      </c>
      <c r="K123" s="195">
        <v>45251</v>
      </c>
      <c r="L123" s="26">
        <f>+E123+$L$3</f>
        <v>45270</v>
      </c>
      <c r="M123" s="26" t="s">
        <v>382</v>
      </c>
      <c r="N123" s="27"/>
      <c r="O123" s="26"/>
      <c r="P123" s="25"/>
      <c r="Q123" s="27"/>
      <c r="R123" s="27"/>
    </row>
    <row r="124" spans="1:19" x14ac:dyDescent="0.25">
      <c r="A124" s="1"/>
      <c r="B124" s="21" t="s">
        <v>24</v>
      </c>
      <c r="C124" s="28">
        <v>19281982</v>
      </c>
      <c r="D124" s="21" t="s">
        <v>26</v>
      </c>
      <c r="E124" s="22">
        <v>45249</v>
      </c>
      <c r="F124" s="29">
        <v>0.08</v>
      </c>
      <c r="G124" s="31" t="s">
        <v>139</v>
      </c>
      <c r="H124" s="32">
        <f t="shared" ref="H124:H125" si="133">+$H$122*F124</f>
        <v>1493124.8</v>
      </c>
      <c r="I124" s="25">
        <f>+H124*0.19</f>
        <v>283693.712</v>
      </c>
      <c r="J124" s="25">
        <f>+IF(D124="Compra",-(H124+I124),(H124+I124))</f>
        <v>-1776818.5120000001</v>
      </c>
      <c r="K124" s="201">
        <v>45251</v>
      </c>
      <c r="L124" s="26">
        <f>+E124+$L$3</f>
        <v>45270</v>
      </c>
      <c r="M124" s="26" t="s">
        <v>382</v>
      </c>
      <c r="N124" s="27"/>
      <c r="O124" s="26"/>
      <c r="P124" s="25"/>
      <c r="Q124" s="3"/>
      <c r="R124" s="3"/>
    </row>
    <row r="125" spans="1:19" x14ac:dyDescent="0.25">
      <c r="A125" s="1"/>
      <c r="B125" s="33" t="s">
        <v>24</v>
      </c>
      <c r="C125" s="34">
        <v>19281508</v>
      </c>
      <c r="D125" s="33" t="s">
        <v>26</v>
      </c>
      <c r="E125" s="35">
        <v>45249</v>
      </c>
      <c r="F125" s="36">
        <v>0.04</v>
      </c>
      <c r="G125" s="37" t="s">
        <v>139</v>
      </c>
      <c r="H125" s="38">
        <f t="shared" si="133"/>
        <v>746562.4</v>
      </c>
      <c r="I125" s="39">
        <f t="shared" ref="I125" si="134">+H125*0.19</f>
        <v>141846.856</v>
      </c>
      <c r="J125" s="39">
        <f t="shared" ref="J125:J127" si="135">+IF(D125="Compra",-(H125+I125),(H125+I125))</f>
        <v>-888409.25600000005</v>
      </c>
      <c r="K125" s="198">
        <v>45251</v>
      </c>
      <c r="L125" s="40">
        <f t="shared" ref="L125" si="136">+E125+$L$3</f>
        <v>45270</v>
      </c>
      <c r="M125" s="40" t="s">
        <v>382</v>
      </c>
      <c r="N125" s="41"/>
      <c r="O125" s="40"/>
      <c r="P125" s="39"/>
      <c r="Q125" s="7"/>
      <c r="R125" s="7"/>
    </row>
    <row r="126" spans="1:19" x14ac:dyDescent="0.25">
      <c r="A126" s="1"/>
      <c r="B126" s="21" t="s">
        <v>24</v>
      </c>
      <c r="C126" s="28">
        <v>1055</v>
      </c>
      <c r="D126" s="21" t="s">
        <v>25</v>
      </c>
      <c r="E126" s="22">
        <v>45250</v>
      </c>
      <c r="F126" s="22"/>
      <c r="G126" s="23" t="s">
        <v>139</v>
      </c>
      <c r="H126" s="24">
        <v>29445460</v>
      </c>
      <c r="I126" s="25">
        <f>+H126*0.19</f>
        <v>5594637.4000000004</v>
      </c>
      <c r="J126" s="25">
        <f t="shared" si="135"/>
        <v>35040097.399999999</v>
      </c>
      <c r="K126" s="167">
        <v>45253</v>
      </c>
      <c r="L126" s="26">
        <f>+E126+$L$3</f>
        <v>45271</v>
      </c>
      <c r="M126" s="26" t="s">
        <v>382</v>
      </c>
      <c r="N126" s="27"/>
      <c r="O126" s="26"/>
      <c r="P126" s="25">
        <f>+WEEKNUM(O126,21)</f>
        <v>52</v>
      </c>
      <c r="Q126" s="27"/>
      <c r="R126" s="27"/>
      <c r="S126" s="19"/>
    </row>
    <row r="127" spans="1:19" x14ac:dyDescent="0.25">
      <c r="A127" s="1"/>
      <c r="B127" s="21" t="s">
        <v>24</v>
      </c>
      <c r="C127" s="28">
        <v>19283976</v>
      </c>
      <c r="D127" s="21" t="s">
        <v>26</v>
      </c>
      <c r="E127" s="22">
        <v>45256</v>
      </c>
      <c r="F127" s="29">
        <v>0.1</v>
      </c>
      <c r="G127" s="23" t="s">
        <v>139</v>
      </c>
      <c r="H127" s="30">
        <f>+$H$126*F127</f>
        <v>2944546</v>
      </c>
      <c r="I127" s="25">
        <f t="shared" ref="I127" si="137">+H127*0.19</f>
        <v>559463.74</v>
      </c>
      <c r="J127" s="25">
        <f t="shared" si="135"/>
        <v>-3504009.74</v>
      </c>
      <c r="K127" s="167">
        <v>45258</v>
      </c>
      <c r="L127" s="26">
        <f>+E127+$L$3</f>
        <v>45277</v>
      </c>
      <c r="M127" s="26" t="s">
        <v>404</v>
      </c>
      <c r="N127" s="27"/>
      <c r="O127" s="26"/>
      <c r="P127" s="25"/>
      <c r="Q127" s="27"/>
      <c r="R127" s="27"/>
    </row>
    <row r="128" spans="1:19" x14ac:dyDescent="0.25">
      <c r="A128" s="1"/>
      <c r="B128" s="21" t="s">
        <v>24</v>
      </c>
      <c r="C128" s="28">
        <v>19287165</v>
      </c>
      <c r="D128" s="21" t="s">
        <v>26</v>
      </c>
      <c r="E128" s="22">
        <v>45256</v>
      </c>
      <c r="F128" s="29">
        <v>0.08</v>
      </c>
      <c r="G128" s="31" t="s">
        <v>139</v>
      </c>
      <c r="H128" s="32">
        <f t="shared" ref="H128:H129" si="138">+$H$126*F128</f>
        <v>2355636.8000000003</v>
      </c>
      <c r="I128" s="25">
        <f>+H128*0.19</f>
        <v>447570.99200000009</v>
      </c>
      <c r="J128" s="25">
        <f>+IF(D128="Compra",-(H128+I128),(H128+I128))</f>
        <v>-2803207.7920000004</v>
      </c>
      <c r="K128" s="169">
        <v>45258</v>
      </c>
      <c r="L128" s="26">
        <f>+E128+$L$3</f>
        <v>45277</v>
      </c>
      <c r="M128" s="26" t="s">
        <v>404</v>
      </c>
      <c r="N128" s="27"/>
      <c r="O128" s="26"/>
      <c r="P128" s="25"/>
      <c r="Q128" s="3"/>
      <c r="R128" s="3"/>
    </row>
    <row r="129" spans="1:19" x14ac:dyDescent="0.25">
      <c r="A129" s="1"/>
      <c r="B129" s="33" t="s">
        <v>24</v>
      </c>
      <c r="C129" s="34">
        <v>19286657</v>
      </c>
      <c r="D129" s="33" t="s">
        <v>26</v>
      </c>
      <c r="E129" s="35">
        <v>45256</v>
      </c>
      <c r="F129" s="36">
        <v>0.04</v>
      </c>
      <c r="G129" s="37" t="s">
        <v>139</v>
      </c>
      <c r="H129" s="38">
        <f t="shared" si="138"/>
        <v>1177818.4000000001</v>
      </c>
      <c r="I129" s="39">
        <f t="shared" ref="I129" si="139">+H129*0.19</f>
        <v>223785.49600000004</v>
      </c>
      <c r="J129" s="39">
        <f t="shared" ref="J129:J131" si="140">+IF(D129="Compra",-(H129+I129),(H129+I129))</f>
        <v>-1401603.8960000002</v>
      </c>
      <c r="K129" s="168">
        <v>45258</v>
      </c>
      <c r="L129" s="40">
        <f t="shared" ref="L129" si="141">+E129+$L$3</f>
        <v>45277</v>
      </c>
      <c r="M129" s="40" t="s">
        <v>404</v>
      </c>
      <c r="N129" s="41"/>
      <c r="O129" s="40"/>
      <c r="P129" s="39"/>
      <c r="Q129" s="7"/>
      <c r="R129" s="7"/>
    </row>
    <row r="130" spans="1:19" x14ac:dyDescent="0.25">
      <c r="A130" s="1"/>
      <c r="B130" s="21" t="s">
        <v>24</v>
      </c>
      <c r="C130" s="28">
        <v>1060</v>
      </c>
      <c r="D130" s="21" t="s">
        <v>25</v>
      </c>
      <c r="E130" s="22">
        <v>45253</v>
      </c>
      <c r="F130" s="22"/>
      <c r="G130" s="23" t="s">
        <v>139</v>
      </c>
      <c r="H130" s="24">
        <v>28781124</v>
      </c>
      <c r="I130" s="25">
        <f>+H130*0.19</f>
        <v>5468413.5600000005</v>
      </c>
      <c r="J130" s="25">
        <f t="shared" si="140"/>
        <v>34249537.560000002</v>
      </c>
      <c r="K130" s="167">
        <v>45257</v>
      </c>
      <c r="L130" s="26">
        <f>+E130+$L$3</f>
        <v>45274</v>
      </c>
      <c r="M130" s="26" t="s">
        <v>404</v>
      </c>
      <c r="N130" s="27"/>
      <c r="O130" s="26"/>
      <c r="P130" s="25">
        <f>+WEEKNUM(O130,21)</f>
        <v>52</v>
      </c>
      <c r="Q130" s="27"/>
      <c r="R130" s="27"/>
      <c r="S130" s="19"/>
    </row>
    <row r="131" spans="1:19" x14ac:dyDescent="0.25">
      <c r="A131" s="1"/>
      <c r="B131" s="21" t="s">
        <v>24</v>
      </c>
      <c r="C131" s="28">
        <v>19283976</v>
      </c>
      <c r="D131" s="21" t="s">
        <v>26</v>
      </c>
      <c r="E131" s="22">
        <v>45256</v>
      </c>
      <c r="F131" s="29">
        <v>0.1</v>
      </c>
      <c r="G131" s="23" t="s">
        <v>139</v>
      </c>
      <c r="H131" s="30">
        <f>+$H$130*F131</f>
        <v>2878112.4000000004</v>
      </c>
      <c r="I131" s="25">
        <f t="shared" ref="I131" si="142">+H131*0.19</f>
        <v>546841.35600000003</v>
      </c>
      <c r="J131" s="25">
        <f t="shared" si="140"/>
        <v>-3424953.7560000005</v>
      </c>
      <c r="K131" s="167">
        <v>45258</v>
      </c>
      <c r="L131" s="26">
        <f>+E131+$L$3</f>
        <v>45277</v>
      </c>
      <c r="M131" s="26" t="s">
        <v>404</v>
      </c>
      <c r="N131" s="27"/>
      <c r="O131" s="26"/>
      <c r="P131" s="25"/>
      <c r="Q131" s="27"/>
      <c r="R131" s="27"/>
    </row>
    <row r="132" spans="1:19" x14ac:dyDescent="0.25">
      <c r="A132" s="1"/>
      <c r="B132" s="21" t="s">
        <v>24</v>
      </c>
      <c r="C132" s="28">
        <v>19287165</v>
      </c>
      <c r="D132" s="21" t="s">
        <v>26</v>
      </c>
      <c r="E132" s="22">
        <v>45256</v>
      </c>
      <c r="F132" s="29">
        <v>0.08</v>
      </c>
      <c r="G132" s="31" t="s">
        <v>139</v>
      </c>
      <c r="H132" s="32">
        <f t="shared" ref="H132:H133" si="143">+$H$130*F132</f>
        <v>2302489.92</v>
      </c>
      <c r="I132" s="25">
        <f>+H132*0.19</f>
        <v>437473.08480000001</v>
      </c>
      <c r="J132" s="25">
        <f>+IF(D132="Compra",-(H132+I132),(H132+I132))</f>
        <v>-2739963.0047999998</v>
      </c>
      <c r="K132" s="169">
        <v>45258</v>
      </c>
      <c r="L132" s="26">
        <f>+E132+$L$3</f>
        <v>45277</v>
      </c>
      <c r="M132" s="26" t="s">
        <v>404</v>
      </c>
      <c r="N132" s="27"/>
      <c r="O132" s="26"/>
      <c r="P132" s="25"/>
      <c r="Q132" s="3"/>
      <c r="R132" s="3"/>
    </row>
    <row r="133" spans="1:19" x14ac:dyDescent="0.25">
      <c r="A133" s="1"/>
      <c r="B133" s="33" t="s">
        <v>24</v>
      </c>
      <c r="C133" s="34">
        <v>19286657</v>
      </c>
      <c r="D133" s="33" t="s">
        <v>26</v>
      </c>
      <c r="E133" s="35">
        <v>45256</v>
      </c>
      <c r="F133" s="36">
        <v>0.04</v>
      </c>
      <c r="G133" s="37" t="s">
        <v>139</v>
      </c>
      <c r="H133" s="38">
        <f t="shared" si="143"/>
        <v>1151244.96</v>
      </c>
      <c r="I133" s="39">
        <f t="shared" ref="I133" si="144">+H133*0.19</f>
        <v>218736.54240000001</v>
      </c>
      <c r="J133" s="39">
        <f t="shared" ref="J133:J139" si="145">+IF(D133="Compra",-(H133+I133),(H133+I133))</f>
        <v>-1369981.5023999999</v>
      </c>
      <c r="K133" s="168">
        <v>45258</v>
      </c>
      <c r="L133" s="40">
        <f t="shared" ref="L133" si="146">+E133+$L$3</f>
        <v>45277</v>
      </c>
      <c r="M133" s="40" t="s">
        <v>404</v>
      </c>
      <c r="N133" s="41"/>
      <c r="O133" s="40"/>
      <c r="P133" s="39"/>
      <c r="Q133" s="7"/>
      <c r="R133" s="7"/>
    </row>
    <row r="134" spans="1:19" x14ac:dyDescent="0.25">
      <c r="A134" s="1"/>
      <c r="B134" s="21" t="s">
        <v>24</v>
      </c>
      <c r="C134" s="28">
        <v>1067</v>
      </c>
      <c r="D134" s="21" t="s">
        <v>25</v>
      </c>
      <c r="E134" s="22">
        <v>45257</v>
      </c>
      <c r="F134" s="22"/>
      <c r="G134" s="23" t="s">
        <v>139</v>
      </c>
      <c r="H134" s="24">
        <v>26344592</v>
      </c>
      <c r="I134" s="25">
        <f>+H134*0.19</f>
        <v>5005472.4800000004</v>
      </c>
      <c r="J134" s="25">
        <f t="shared" si="145"/>
        <v>31350064.48</v>
      </c>
      <c r="K134" s="167">
        <v>45259</v>
      </c>
      <c r="L134" s="26">
        <f>+E134+$L$3</f>
        <v>45278</v>
      </c>
      <c r="M134" s="26" t="s">
        <v>404</v>
      </c>
      <c r="N134" s="27"/>
      <c r="O134" s="26"/>
      <c r="P134" s="25">
        <f>+WEEKNUM(O134,21)</f>
        <v>52</v>
      </c>
      <c r="Q134" s="27"/>
      <c r="R134" s="27"/>
      <c r="S134" s="19"/>
    </row>
    <row r="135" spans="1:19" x14ac:dyDescent="0.25">
      <c r="A135" s="1"/>
      <c r="B135" s="21" t="s">
        <v>24</v>
      </c>
      <c r="C135" s="28">
        <v>20119558</v>
      </c>
      <c r="D135" s="21" t="s">
        <v>26</v>
      </c>
      <c r="E135" s="22">
        <v>45260</v>
      </c>
      <c r="F135" s="29">
        <v>0.1</v>
      </c>
      <c r="G135" s="23" t="s">
        <v>139</v>
      </c>
      <c r="H135" s="30">
        <f>+$H$134*F135</f>
        <v>2634459.2000000002</v>
      </c>
      <c r="I135" s="25">
        <f t="shared" ref="I135" si="147">+H135*0.19</f>
        <v>500547.24800000002</v>
      </c>
      <c r="J135" s="25">
        <f t="shared" si="145"/>
        <v>-3135006.4480000003</v>
      </c>
      <c r="K135" s="167">
        <v>45264</v>
      </c>
      <c r="L135" s="26">
        <f>+E135+$L$3</f>
        <v>45281</v>
      </c>
      <c r="M135" s="26" t="s">
        <v>432</v>
      </c>
      <c r="N135" s="27"/>
      <c r="O135" s="26"/>
      <c r="P135" s="25"/>
      <c r="Q135" s="27"/>
      <c r="R135" s="27"/>
    </row>
    <row r="136" spans="1:19" x14ac:dyDescent="0.25">
      <c r="A136" s="1"/>
      <c r="B136" s="21" t="s">
        <v>24</v>
      </c>
      <c r="C136" s="28">
        <v>20120681</v>
      </c>
      <c r="D136" s="21" t="s">
        <v>26</v>
      </c>
      <c r="E136" s="22">
        <v>45260</v>
      </c>
      <c r="F136" s="29">
        <v>0.08</v>
      </c>
      <c r="G136" s="31" t="s">
        <v>139</v>
      </c>
      <c r="H136" s="32">
        <f t="shared" ref="H136:H137" si="148">+$H$134*F136</f>
        <v>2107567.36</v>
      </c>
      <c r="I136" s="25">
        <f>+H136*0.19</f>
        <v>400437.79839999997</v>
      </c>
      <c r="J136" s="25">
        <f>+IF(D136="Compra",-(H136+I136),(H136+I136))</f>
        <v>-2508005.1584000001</v>
      </c>
      <c r="K136" s="167">
        <v>45264</v>
      </c>
      <c r="L136" s="26">
        <f>+E136+$L$3</f>
        <v>45281</v>
      </c>
      <c r="M136" s="26" t="s">
        <v>432</v>
      </c>
      <c r="N136" s="27"/>
      <c r="O136" s="26"/>
      <c r="P136" s="25"/>
      <c r="Q136" s="3"/>
      <c r="R136" s="3"/>
    </row>
    <row r="137" spans="1:19" x14ac:dyDescent="0.25">
      <c r="A137" s="1"/>
      <c r="B137" s="33" t="s">
        <v>24</v>
      </c>
      <c r="C137" s="34">
        <v>20120261</v>
      </c>
      <c r="D137" s="33" t="s">
        <v>26</v>
      </c>
      <c r="E137" s="35">
        <v>45260</v>
      </c>
      <c r="F137" s="36">
        <v>0.04</v>
      </c>
      <c r="G137" s="37" t="s">
        <v>139</v>
      </c>
      <c r="H137" s="38">
        <f t="shared" si="148"/>
        <v>1053783.68</v>
      </c>
      <c r="I137" s="39">
        <f t="shared" ref="I137" si="149">+H137*0.19</f>
        <v>200218.89919999999</v>
      </c>
      <c r="J137" s="39">
        <f t="shared" ref="J137" si="150">+IF(D137="Compra",-(H137+I137),(H137+I137))</f>
        <v>-1254002.5792</v>
      </c>
      <c r="K137" s="168">
        <v>45264</v>
      </c>
      <c r="L137" s="40">
        <f t="shared" ref="L137" si="151">+E137+$L$3</f>
        <v>45281</v>
      </c>
      <c r="M137" s="40" t="s">
        <v>432</v>
      </c>
      <c r="N137" s="41"/>
      <c r="O137" s="40"/>
      <c r="P137" s="39"/>
      <c r="Q137" s="7"/>
      <c r="R137" s="7"/>
    </row>
    <row r="138" spans="1:19" x14ac:dyDescent="0.25">
      <c r="A138" s="1"/>
      <c r="B138" s="21" t="s">
        <v>396</v>
      </c>
      <c r="C138" s="28">
        <v>1071</v>
      </c>
      <c r="D138" s="21" t="s">
        <v>25</v>
      </c>
      <c r="E138" s="22">
        <v>45257</v>
      </c>
      <c r="F138" s="22"/>
      <c r="G138" s="23" t="s">
        <v>139</v>
      </c>
      <c r="H138" s="24">
        <v>6187500</v>
      </c>
      <c r="I138" s="25">
        <f>+H138*0.19</f>
        <v>1175625</v>
      </c>
      <c r="J138" s="25">
        <f t="shared" si="145"/>
        <v>7363125</v>
      </c>
      <c r="K138" s="167">
        <v>45260</v>
      </c>
      <c r="L138" s="26">
        <f>+E138+$L$3</f>
        <v>45278</v>
      </c>
      <c r="M138" s="26" t="s">
        <v>432</v>
      </c>
      <c r="N138" s="27"/>
      <c r="O138" s="26"/>
      <c r="P138" s="25">
        <f>+WEEKNUM(O138,21)</f>
        <v>52</v>
      </c>
      <c r="Q138" s="27"/>
      <c r="R138" s="27"/>
      <c r="S138" s="19"/>
    </row>
    <row r="139" spans="1:19" x14ac:dyDescent="0.25">
      <c r="A139" s="1"/>
      <c r="B139" s="21" t="s">
        <v>396</v>
      </c>
      <c r="C139" s="28">
        <v>20119558</v>
      </c>
      <c r="D139" s="21" t="s">
        <v>26</v>
      </c>
      <c r="E139" s="22">
        <v>45260</v>
      </c>
      <c r="F139" s="29">
        <v>0.1</v>
      </c>
      <c r="G139" s="23" t="s">
        <v>139</v>
      </c>
      <c r="H139" s="30">
        <f>+$H$138*F139</f>
        <v>618750</v>
      </c>
      <c r="I139" s="25">
        <f t="shared" ref="I139" si="152">+H139*0.19</f>
        <v>117562.5</v>
      </c>
      <c r="J139" s="25">
        <f t="shared" si="145"/>
        <v>-736312.5</v>
      </c>
      <c r="K139" s="167">
        <v>45264</v>
      </c>
      <c r="L139" s="26">
        <f>+E139+$L$3</f>
        <v>45281</v>
      </c>
      <c r="M139" s="26" t="s">
        <v>432</v>
      </c>
      <c r="N139" s="27"/>
      <c r="O139" s="26"/>
      <c r="P139" s="25"/>
      <c r="Q139" s="27"/>
      <c r="R139" s="27"/>
    </row>
    <row r="140" spans="1:19" x14ac:dyDescent="0.25">
      <c r="A140" s="1"/>
      <c r="B140" s="21" t="s">
        <v>396</v>
      </c>
      <c r="C140" s="28">
        <v>20120681</v>
      </c>
      <c r="D140" s="21" t="s">
        <v>26</v>
      </c>
      <c r="E140" s="22">
        <v>45260</v>
      </c>
      <c r="F140" s="29">
        <v>0.08</v>
      </c>
      <c r="G140" s="31" t="s">
        <v>139</v>
      </c>
      <c r="H140" s="32">
        <f t="shared" ref="H140:H141" si="153">+$H$138*F140</f>
        <v>495000</v>
      </c>
      <c r="I140" s="25">
        <f>+H140*0.19</f>
        <v>94050</v>
      </c>
      <c r="J140" s="25">
        <f>+IF(D140="Compra",-(H140+I140),(H140+I140))</f>
        <v>-589050</v>
      </c>
      <c r="K140" s="167">
        <v>45264</v>
      </c>
      <c r="L140" s="26">
        <f>+E140+$L$3</f>
        <v>45281</v>
      </c>
      <c r="M140" s="26" t="s">
        <v>432</v>
      </c>
      <c r="N140" s="27"/>
      <c r="O140" s="26"/>
      <c r="P140" s="25"/>
      <c r="Q140" s="3"/>
      <c r="R140" s="3"/>
    </row>
    <row r="141" spans="1:19" x14ac:dyDescent="0.25">
      <c r="A141" s="1"/>
      <c r="B141" s="33" t="s">
        <v>396</v>
      </c>
      <c r="C141" s="34">
        <v>20120261</v>
      </c>
      <c r="D141" s="33" t="s">
        <v>26</v>
      </c>
      <c r="E141" s="35">
        <v>45260</v>
      </c>
      <c r="F141" s="36">
        <v>0.04</v>
      </c>
      <c r="G141" s="37" t="s">
        <v>139</v>
      </c>
      <c r="H141" s="38">
        <f t="shared" si="153"/>
        <v>247500</v>
      </c>
      <c r="I141" s="39">
        <f t="shared" ref="I141" si="154">+H141*0.19</f>
        <v>47025</v>
      </c>
      <c r="J141" s="39">
        <f t="shared" ref="J141:J145" si="155">+IF(D141="Compra",-(H141+I141),(H141+I141))</f>
        <v>-294525</v>
      </c>
      <c r="K141" s="168">
        <v>45264</v>
      </c>
      <c r="L141" s="40">
        <f t="shared" ref="L141" si="156">+E141+$L$3</f>
        <v>45281</v>
      </c>
      <c r="M141" s="40" t="s">
        <v>432</v>
      </c>
      <c r="N141" s="41"/>
      <c r="O141" s="40"/>
      <c r="P141" s="39"/>
      <c r="Q141" s="7"/>
      <c r="R141" s="7"/>
    </row>
    <row r="142" spans="1:19" x14ac:dyDescent="0.25">
      <c r="A142" s="1"/>
      <c r="B142" s="146" t="s">
        <v>396</v>
      </c>
      <c r="C142" s="206" t="s">
        <v>405</v>
      </c>
      <c r="D142" s="207" t="s">
        <v>137</v>
      </c>
      <c r="E142" s="148">
        <v>45260</v>
      </c>
      <c r="F142" s="203"/>
      <c r="G142" s="204" t="s">
        <v>139</v>
      </c>
      <c r="H142" s="205">
        <v>-51544</v>
      </c>
      <c r="I142" s="151">
        <f>+H142*0.19</f>
        <v>-9793.36</v>
      </c>
      <c r="J142" s="151">
        <f t="shared" si="155"/>
        <v>-61337.36</v>
      </c>
      <c r="K142" s="166">
        <v>45266</v>
      </c>
      <c r="L142" s="152"/>
      <c r="M142" s="152" t="s">
        <v>432</v>
      </c>
      <c r="N142" s="153"/>
      <c r="O142" s="152"/>
      <c r="P142" s="151"/>
      <c r="Q142" s="187"/>
      <c r="R142" s="187"/>
    </row>
    <row r="143" spans="1:19" x14ac:dyDescent="0.25">
      <c r="A143" s="1"/>
      <c r="B143" s="146" t="s">
        <v>396</v>
      </c>
      <c r="C143" s="206" t="s">
        <v>433</v>
      </c>
      <c r="D143" s="207" t="s">
        <v>137</v>
      </c>
      <c r="E143" s="148">
        <v>45266</v>
      </c>
      <c r="F143" s="203"/>
      <c r="G143" s="204" t="s">
        <v>139</v>
      </c>
      <c r="H143" s="205">
        <v>-8160</v>
      </c>
      <c r="I143" s="151">
        <f>+H143*0.19</f>
        <v>-1550.4</v>
      </c>
      <c r="J143" s="151">
        <f t="shared" ref="J143" si="157">+IF(D143="Compra",-(H143+I143),(H143+I143))</f>
        <v>-9710.4</v>
      </c>
      <c r="K143" s="166">
        <v>45266</v>
      </c>
      <c r="L143" s="152"/>
      <c r="M143" s="152" t="s">
        <v>432</v>
      </c>
      <c r="N143" s="153"/>
      <c r="O143" s="152"/>
      <c r="P143" s="151"/>
      <c r="Q143" s="187"/>
      <c r="R143" s="187"/>
    </row>
    <row r="144" spans="1:19" x14ac:dyDescent="0.25">
      <c r="A144" s="1"/>
      <c r="B144" s="21" t="s">
        <v>396</v>
      </c>
      <c r="C144" s="28">
        <v>1074</v>
      </c>
      <c r="D144" s="21" t="s">
        <v>25</v>
      </c>
      <c r="E144" s="22">
        <v>45260</v>
      </c>
      <c r="F144" s="22"/>
      <c r="G144" s="23" t="s">
        <v>139</v>
      </c>
      <c r="H144" s="24">
        <v>6187500</v>
      </c>
      <c r="I144" s="25">
        <f>+H144*0.19</f>
        <v>1175625</v>
      </c>
      <c r="J144" s="25">
        <f t="shared" si="155"/>
        <v>7363125</v>
      </c>
      <c r="K144" s="167">
        <v>45264</v>
      </c>
      <c r="L144" s="26">
        <f>+E144+$L$3</f>
        <v>45281</v>
      </c>
      <c r="M144" s="26" t="s">
        <v>432</v>
      </c>
      <c r="N144" s="27"/>
      <c r="O144" s="26"/>
      <c r="P144" s="25">
        <f>+WEEKNUM(O144,21)</f>
        <v>52</v>
      </c>
      <c r="Q144" s="27"/>
      <c r="R144" s="27"/>
      <c r="S144" s="19"/>
    </row>
    <row r="145" spans="1:19" x14ac:dyDescent="0.25">
      <c r="A145" s="1"/>
      <c r="B145" s="21" t="s">
        <v>396</v>
      </c>
      <c r="C145" s="28">
        <v>20124984</v>
      </c>
      <c r="D145" s="21" t="s">
        <v>26</v>
      </c>
      <c r="E145" s="22">
        <v>45270</v>
      </c>
      <c r="F145" s="29">
        <v>0.1</v>
      </c>
      <c r="G145" s="23" t="s">
        <v>139</v>
      </c>
      <c r="H145" s="30">
        <f>+$H$144*F145</f>
        <v>618750</v>
      </c>
      <c r="I145" s="25">
        <f t="shared" ref="I145" si="158">+H145*0.19</f>
        <v>117562.5</v>
      </c>
      <c r="J145" s="25">
        <f t="shared" si="155"/>
        <v>-736312.5</v>
      </c>
      <c r="K145" s="167">
        <v>45272</v>
      </c>
      <c r="L145" s="26">
        <f>+E145+$L$3</f>
        <v>45291</v>
      </c>
      <c r="M145" s="26" t="s">
        <v>475</v>
      </c>
      <c r="N145" s="27"/>
      <c r="O145" s="26"/>
      <c r="P145" s="25"/>
      <c r="Q145" s="27"/>
      <c r="R145" s="27"/>
    </row>
    <row r="146" spans="1:19" x14ac:dyDescent="0.25">
      <c r="A146" s="1"/>
      <c r="B146" s="21" t="s">
        <v>396</v>
      </c>
      <c r="C146" s="28">
        <v>20126210</v>
      </c>
      <c r="D146" s="21" t="s">
        <v>26</v>
      </c>
      <c r="E146" s="22">
        <v>45270</v>
      </c>
      <c r="F146" s="29">
        <v>0.08</v>
      </c>
      <c r="G146" s="31" t="s">
        <v>139</v>
      </c>
      <c r="H146" s="32">
        <f t="shared" ref="H146:H147" si="159">+$H$144*F146</f>
        <v>495000</v>
      </c>
      <c r="I146" s="25">
        <f>+H146*0.19</f>
        <v>94050</v>
      </c>
      <c r="J146" s="25">
        <f>+IF(D146="Compra",-(H146+I146),(H146+I146))</f>
        <v>-589050</v>
      </c>
      <c r="K146" s="169">
        <v>45272</v>
      </c>
      <c r="L146" s="26">
        <f>+E146+$L$3</f>
        <v>45291</v>
      </c>
      <c r="M146" s="26" t="s">
        <v>475</v>
      </c>
      <c r="N146" s="27"/>
      <c r="O146" s="26"/>
      <c r="P146" s="25"/>
      <c r="Q146" s="3"/>
      <c r="R146" s="3"/>
    </row>
    <row r="147" spans="1:19" x14ac:dyDescent="0.25">
      <c r="A147" s="1"/>
      <c r="B147" s="33" t="s">
        <v>396</v>
      </c>
      <c r="C147" s="34">
        <v>20125737</v>
      </c>
      <c r="D147" s="33" t="s">
        <v>26</v>
      </c>
      <c r="E147" s="35">
        <v>45270</v>
      </c>
      <c r="F147" s="36">
        <v>0.04</v>
      </c>
      <c r="G147" s="37" t="s">
        <v>139</v>
      </c>
      <c r="H147" s="38">
        <f t="shared" si="159"/>
        <v>247500</v>
      </c>
      <c r="I147" s="39">
        <f t="shared" ref="I147" si="160">+H147*0.19</f>
        <v>47025</v>
      </c>
      <c r="J147" s="39">
        <f t="shared" ref="J147:J149" si="161">+IF(D147="Compra",-(H147+I147),(H147+I147))</f>
        <v>-294525</v>
      </c>
      <c r="K147" s="168">
        <v>45272</v>
      </c>
      <c r="L147" s="40">
        <f t="shared" ref="L147" si="162">+E147+$L$3</f>
        <v>45291</v>
      </c>
      <c r="M147" s="40" t="s">
        <v>475</v>
      </c>
      <c r="N147" s="41"/>
      <c r="O147" s="40"/>
      <c r="P147" s="39"/>
      <c r="Q147" s="7"/>
      <c r="R147" s="7"/>
    </row>
    <row r="148" spans="1:19" x14ac:dyDescent="0.25">
      <c r="A148" s="1"/>
      <c r="B148" s="21" t="s">
        <v>24</v>
      </c>
      <c r="C148" s="28">
        <v>1077</v>
      </c>
      <c r="D148" s="21" t="s">
        <v>25</v>
      </c>
      <c r="E148" s="22">
        <v>45260</v>
      </c>
      <c r="F148" s="22"/>
      <c r="G148" s="23" t="s">
        <v>139</v>
      </c>
      <c r="H148" s="24">
        <v>28685492</v>
      </c>
      <c r="I148" s="25">
        <f>+H148*0.19</f>
        <v>5450243.4800000004</v>
      </c>
      <c r="J148" s="25">
        <f t="shared" si="161"/>
        <v>34135735.480000004</v>
      </c>
      <c r="K148" s="167">
        <v>45264</v>
      </c>
      <c r="L148" s="26">
        <f>+E148+$L$3</f>
        <v>45281</v>
      </c>
      <c r="M148" s="26" t="s">
        <v>432</v>
      </c>
      <c r="N148" s="27"/>
      <c r="O148" s="26"/>
      <c r="P148" s="25">
        <f>+WEEKNUM(O148,21)</f>
        <v>52</v>
      </c>
      <c r="Q148" s="27"/>
      <c r="R148" s="27"/>
      <c r="S148" s="19"/>
    </row>
    <row r="149" spans="1:19" x14ac:dyDescent="0.25">
      <c r="A149" s="1"/>
      <c r="B149" s="21" t="s">
        <v>24</v>
      </c>
      <c r="C149" s="28">
        <v>20124984</v>
      </c>
      <c r="D149" s="21" t="s">
        <v>26</v>
      </c>
      <c r="E149" s="22">
        <v>45270</v>
      </c>
      <c r="F149" s="29">
        <v>0.1</v>
      </c>
      <c r="G149" s="23" t="s">
        <v>139</v>
      </c>
      <c r="H149" s="30">
        <f>+$H$148*F149</f>
        <v>2868549.2</v>
      </c>
      <c r="I149" s="25">
        <f t="shared" ref="I149" si="163">+H149*0.19</f>
        <v>545024.348</v>
      </c>
      <c r="J149" s="25">
        <f t="shared" si="161"/>
        <v>-3413573.5480000004</v>
      </c>
      <c r="K149" s="167">
        <v>45272</v>
      </c>
      <c r="L149" s="26">
        <f>+E149+$L$3</f>
        <v>45291</v>
      </c>
      <c r="M149" s="26" t="s">
        <v>475</v>
      </c>
      <c r="N149" s="27"/>
      <c r="O149" s="26"/>
      <c r="P149" s="25"/>
      <c r="Q149" s="27"/>
      <c r="R149" s="27"/>
    </row>
    <row r="150" spans="1:19" x14ac:dyDescent="0.25">
      <c r="A150" s="1"/>
      <c r="B150" s="21" t="s">
        <v>24</v>
      </c>
      <c r="C150" s="28">
        <v>20126210</v>
      </c>
      <c r="D150" s="21" t="s">
        <v>26</v>
      </c>
      <c r="E150" s="22">
        <v>45270</v>
      </c>
      <c r="F150" s="29">
        <v>0.08</v>
      </c>
      <c r="G150" s="31" t="s">
        <v>139</v>
      </c>
      <c r="H150" s="32">
        <f t="shared" ref="H150:H151" si="164">+$H$148*F150</f>
        <v>2294839.36</v>
      </c>
      <c r="I150" s="25">
        <f>+H150*0.19</f>
        <v>436019.47839999996</v>
      </c>
      <c r="J150" s="25">
        <f>+IF(D150="Compra",-(H150+I150),(H150+I150))</f>
        <v>-2730858.8383999998</v>
      </c>
      <c r="K150" s="169">
        <v>45272</v>
      </c>
      <c r="L150" s="26">
        <f>+E150+$L$3</f>
        <v>45291</v>
      </c>
      <c r="M150" s="26" t="s">
        <v>475</v>
      </c>
      <c r="N150" s="27"/>
      <c r="O150" s="26"/>
      <c r="P150" s="25"/>
      <c r="Q150" s="3"/>
      <c r="R150" s="3"/>
    </row>
    <row r="151" spans="1:19" x14ac:dyDescent="0.25">
      <c r="A151" s="1"/>
      <c r="B151" s="33" t="s">
        <v>24</v>
      </c>
      <c r="C151" s="34">
        <v>20125737</v>
      </c>
      <c r="D151" s="33" t="s">
        <v>26</v>
      </c>
      <c r="E151" s="35">
        <v>45270</v>
      </c>
      <c r="F151" s="36">
        <v>0.04</v>
      </c>
      <c r="G151" s="37" t="s">
        <v>139</v>
      </c>
      <c r="H151" s="38">
        <f t="shared" si="164"/>
        <v>1147419.68</v>
      </c>
      <c r="I151" s="39">
        <f t="shared" ref="I151" si="165">+H151*0.19</f>
        <v>218009.73919999998</v>
      </c>
      <c r="J151" s="39">
        <f t="shared" ref="J151:J157" si="166">+IF(D151="Compra",-(H151+I151),(H151+I151))</f>
        <v>-1365429.4191999999</v>
      </c>
      <c r="K151" s="168">
        <v>45272</v>
      </c>
      <c r="L151" s="40">
        <f t="shared" ref="L151" si="167">+E151+$L$3</f>
        <v>45291</v>
      </c>
      <c r="M151" s="40" t="s">
        <v>475</v>
      </c>
      <c r="N151" s="41"/>
      <c r="O151" s="40"/>
      <c r="P151" s="39"/>
      <c r="Q151" s="7"/>
      <c r="R151" s="7"/>
    </row>
    <row r="152" spans="1:19" x14ac:dyDescent="0.25">
      <c r="A152" s="1"/>
      <c r="B152" s="21" t="s">
        <v>396</v>
      </c>
      <c r="C152" s="28">
        <v>1084</v>
      </c>
      <c r="D152" s="21" t="s">
        <v>25</v>
      </c>
      <c r="E152" s="22">
        <v>45264</v>
      </c>
      <c r="F152" s="22"/>
      <c r="G152" s="23" t="s">
        <v>139</v>
      </c>
      <c r="H152" s="24">
        <v>6187500</v>
      </c>
      <c r="I152" s="25">
        <f>+H152*0.19</f>
        <v>1175625</v>
      </c>
      <c r="J152" s="25">
        <f t="shared" ref="J152:J153" si="168">+IF(D152="Compra",-(H152+I152),(H152+I152))</f>
        <v>7363125</v>
      </c>
      <c r="K152" s="167">
        <v>45266</v>
      </c>
      <c r="L152" s="26">
        <f>+E152+$L$3</f>
        <v>45285</v>
      </c>
      <c r="M152" s="26" t="s">
        <v>432</v>
      </c>
      <c r="N152" s="27"/>
      <c r="O152" s="26"/>
      <c r="P152" s="25">
        <f>+WEEKNUM(O152,21)</f>
        <v>52</v>
      </c>
      <c r="Q152" s="27"/>
      <c r="R152" s="27"/>
      <c r="S152" s="19"/>
    </row>
    <row r="153" spans="1:19" x14ac:dyDescent="0.25">
      <c r="A153" s="1"/>
      <c r="B153" s="21" t="s">
        <v>396</v>
      </c>
      <c r="C153" s="28">
        <v>20124984</v>
      </c>
      <c r="D153" s="21" t="s">
        <v>26</v>
      </c>
      <c r="E153" s="22">
        <v>45270</v>
      </c>
      <c r="F153" s="29">
        <v>0.1</v>
      </c>
      <c r="G153" s="23" t="s">
        <v>139</v>
      </c>
      <c r="H153" s="30">
        <f>+$H$152*F153</f>
        <v>618750</v>
      </c>
      <c r="I153" s="25">
        <f t="shared" ref="I153" si="169">+H153*0.19</f>
        <v>117562.5</v>
      </c>
      <c r="J153" s="25">
        <f t="shared" si="168"/>
        <v>-736312.5</v>
      </c>
      <c r="K153" s="167">
        <v>45272</v>
      </c>
      <c r="L153" s="26">
        <f>+E153+$L$3</f>
        <v>45291</v>
      </c>
      <c r="M153" s="26" t="s">
        <v>475</v>
      </c>
      <c r="N153" s="27"/>
      <c r="O153" s="26"/>
      <c r="P153" s="25"/>
      <c r="Q153" s="27"/>
      <c r="R153" s="27"/>
    </row>
    <row r="154" spans="1:19" x14ac:dyDescent="0.25">
      <c r="A154" s="1"/>
      <c r="B154" s="21" t="s">
        <v>396</v>
      </c>
      <c r="C154" s="28">
        <v>20126210</v>
      </c>
      <c r="D154" s="21" t="s">
        <v>26</v>
      </c>
      <c r="E154" s="22">
        <v>45270</v>
      </c>
      <c r="F154" s="29">
        <v>0.08</v>
      </c>
      <c r="G154" s="31" t="s">
        <v>139</v>
      </c>
      <c r="H154" s="32">
        <f t="shared" ref="H154:H155" si="170">+$H$152*F154</f>
        <v>495000</v>
      </c>
      <c r="I154" s="25">
        <f>+H154*0.19</f>
        <v>94050</v>
      </c>
      <c r="J154" s="25">
        <f>+IF(D154="Compra",-(H154+I154),(H154+I154))</f>
        <v>-589050</v>
      </c>
      <c r="K154" s="169">
        <v>45272</v>
      </c>
      <c r="L154" s="26">
        <f>+E154+$L$3</f>
        <v>45291</v>
      </c>
      <c r="M154" s="26" t="s">
        <v>475</v>
      </c>
      <c r="N154" s="27"/>
      <c r="O154" s="26"/>
      <c r="P154" s="25"/>
      <c r="Q154" s="3"/>
      <c r="R154" s="3"/>
    </row>
    <row r="155" spans="1:19" x14ac:dyDescent="0.25">
      <c r="A155" s="1"/>
      <c r="B155" s="33" t="s">
        <v>396</v>
      </c>
      <c r="C155" s="34">
        <v>20125737</v>
      </c>
      <c r="D155" s="33" t="s">
        <v>26</v>
      </c>
      <c r="E155" s="35">
        <v>45270</v>
      </c>
      <c r="F155" s="36">
        <v>0.04</v>
      </c>
      <c r="G155" s="37" t="s">
        <v>139</v>
      </c>
      <c r="H155" s="38">
        <f t="shared" si="170"/>
        <v>247500</v>
      </c>
      <c r="I155" s="39">
        <f t="shared" ref="I155" si="171">+H155*0.19</f>
        <v>47025</v>
      </c>
      <c r="J155" s="39">
        <f t="shared" ref="J155" si="172">+IF(D155="Compra",-(H155+I155),(H155+I155))</f>
        <v>-294525</v>
      </c>
      <c r="K155" s="168">
        <v>45272</v>
      </c>
      <c r="L155" s="40">
        <f t="shared" ref="L155" si="173">+E155+$L$3</f>
        <v>45291</v>
      </c>
      <c r="M155" s="40" t="s">
        <v>475</v>
      </c>
      <c r="N155" s="41"/>
      <c r="O155" s="40"/>
      <c r="P155" s="39"/>
      <c r="Q155" s="7"/>
      <c r="R155" s="7"/>
    </row>
    <row r="156" spans="1:19" x14ac:dyDescent="0.25">
      <c r="A156" s="1"/>
      <c r="B156" s="21" t="s">
        <v>24</v>
      </c>
      <c r="C156" s="28">
        <v>1085</v>
      </c>
      <c r="D156" s="21" t="s">
        <v>25</v>
      </c>
      <c r="E156" s="22">
        <v>45264</v>
      </c>
      <c r="F156" s="22"/>
      <c r="G156" s="23" t="s">
        <v>139</v>
      </c>
      <c r="H156" s="24">
        <v>28604028</v>
      </c>
      <c r="I156" s="25">
        <f>+H156*0.19</f>
        <v>5434765.3200000003</v>
      </c>
      <c r="J156" s="25">
        <f t="shared" si="166"/>
        <v>34038793.32</v>
      </c>
      <c r="K156" s="167">
        <v>45266</v>
      </c>
      <c r="L156" s="26">
        <f>+E156+$L$3</f>
        <v>45285</v>
      </c>
      <c r="M156" s="26" t="s">
        <v>432</v>
      </c>
      <c r="N156" s="27"/>
      <c r="O156" s="26"/>
      <c r="P156" s="25">
        <f>+WEEKNUM(O156,21)</f>
        <v>52</v>
      </c>
      <c r="Q156" s="27"/>
      <c r="R156" s="27"/>
      <c r="S156" s="19"/>
    </row>
    <row r="157" spans="1:19" x14ac:dyDescent="0.25">
      <c r="A157" s="1"/>
      <c r="B157" s="21" t="s">
        <v>24</v>
      </c>
      <c r="C157" s="28">
        <v>20124984</v>
      </c>
      <c r="D157" s="21" t="s">
        <v>26</v>
      </c>
      <c r="E157" s="22">
        <v>45270</v>
      </c>
      <c r="F157" s="29">
        <v>0.1</v>
      </c>
      <c r="G157" s="23" t="s">
        <v>139</v>
      </c>
      <c r="H157" s="30">
        <f>+$H$156*F157</f>
        <v>2860402.8000000003</v>
      </c>
      <c r="I157" s="25">
        <f t="shared" ref="I157" si="174">+H157*0.19</f>
        <v>543476.53200000001</v>
      </c>
      <c r="J157" s="25">
        <f t="shared" si="166"/>
        <v>-3403879.3320000004</v>
      </c>
      <c r="K157" s="167">
        <v>45272</v>
      </c>
      <c r="L157" s="26">
        <f>+E157+$L$3</f>
        <v>45291</v>
      </c>
      <c r="M157" s="26" t="s">
        <v>475</v>
      </c>
      <c r="N157" s="27"/>
      <c r="O157" s="26"/>
      <c r="P157" s="25"/>
      <c r="Q157" s="27"/>
      <c r="R157" s="27"/>
    </row>
    <row r="158" spans="1:19" x14ac:dyDescent="0.25">
      <c r="A158" s="1"/>
      <c r="B158" s="21" t="s">
        <v>24</v>
      </c>
      <c r="C158" s="28">
        <v>20126210</v>
      </c>
      <c r="D158" s="21" t="s">
        <v>26</v>
      </c>
      <c r="E158" s="22">
        <v>45270</v>
      </c>
      <c r="F158" s="29">
        <v>0.08</v>
      </c>
      <c r="G158" s="31" t="s">
        <v>139</v>
      </c>
      <c r="H158" s="32">
        <f t="shared" ref="H158:H159" si="175">+$H$156*F158</f>
        <v>2288322.2400000002</v>
      </c>
      <c r="I158" s="25">
        <f>+H158*0.19</f>
        <v>434781.22560000006</v>
      </c>
      <c r="J158" s="25">
        <f>+IF(D158="Compra",-(H158+I158),(H158+I158))</f>
        <v>-2723103.4656000002</v>
      </c>
      <c r="K158" s="169">
        <v>45272</v>
      </c>
      <c r="L158" s="26">
        <f>+E158+$L$3</f>
        <v>45291</v>
      </c>
      <c r="M158" s="26" t="s">
        <v>475</v>
      </c>
      <c r="N158" s="27"/>
      <c r="O158" s="26"/>
      <c r="P158" s="25"/>
      <c r="Q158" s="3"/>
      <c r="R158" s="3"/>
    </row>
    <row r="159" spans="1:19" x14ac:dyDescent="0.25">
      <c r="A159" s="1"/>
      <c r="B159" s="33" t="s">
        <v>24</v>
      </c>
      <c r="C159" s="34">
        <v>20125737</v>
      </c>
      <c r="D159" s="33" t="s">
        <v>26</v>
      </c>
      <c r="E159" s="35">
        <v>45270</v>
      </c>
      <c r="F159" s="36">
        <v>0.04</v>
      </c>
      <c r="G159" s="37" t="s">
        <v>139</v>
      </c>
      <c r="H159" s="38">
        <f t="shared" si="175"/>
        <v>1144161.1200000001</v>
      </c>
      <c r="I159" s="39">
        <f t="shared" ref="I159" si="176">+H159*0.19</f>
        <v>217390.61280000003</v>
      </c>
      <c r="J159" s="39">
        <f t="shared" ref="J159:J162" si="177">+IF(D159="Compra",-(H159+I159),(H159+I159))</f>
        <v>-1361551.7328000001</v>
      </c>
      <c r="K159" s="168">
        <v>45272</v>
      </c>
      <c r="L159" s="40">
        <f t="shared" ref="L159" si="178">+E159+$L$3</f>
        <v>45291</v>
      </c>
      <c r="M159" s="26" t="s">
        <v>475</v>
      </c>
      <c r="N159" s="41"/>
      <c r="O159" s="40"/>
      <c r="P159" s="39"/>
      <c r="Q159" s="7"/>
      <c r="R159" s="7"/>
    </row>
    <row r="160" spans="1:19" x14ac:dyDescent="0.25">
      <c r="A160" s="1"/>
      <c r="B160" s="146" t="s">
        <v>396</v>
      </c>
      <c r="C160" s="147">
        <v>20122954</v>
      </c>
      <c r="D160" s="146" t="s">
        <v>26</v>
      </c>
      <c r="E160" s="148">
        <v>45262</v>
      </c>
      <c r="F160" s="186">
        <v>1E-3</v>
      </c>
      <c r="G160" s="149" t="s">
        <v>139</v>
      </c>
      <c r="H160" s="150">
        <v>214347</v>
      </c>
      <c r="I160" s="151">
        <f>+H160*0.19</f>
        <v>40725.93</v>
      </c>
      <c r="J160" s="151">
        <f t="shared" si="177"/>
        <v>-255072.93</v>
      </c>
      <c r="K160" s="166">
        <v>45265</v>
      </c>
      <c r="L160" s="152"/>
      <c r="M160" s="152" t="s">
        <v>432</v>
      </c>
      <c r="N160" s="153"/>
      <c r="O160" s="152"/>
      <c r="P160" s="151"/>
      <c r="Q160" s="187"/>
      <c r="R160" s="187"/>
    </row>
    <row r="161" spans="1:19" x14ac:dyDescent="0.25">
      <c r="A161" s="1"/>
      <c r="B161" s="21" t="s">
        <v>396</v>
      </c>
      <c r="C161" s="28">
        <v>1086</v>
      </c>
      <c r="D161" s="21" t="s">
        <v>25</v>
      </c>
      <c r="E161" s="22">
        <v>45267</v>
      </c>
      <c r="F161" s="22"/>
      <c r="G161" s="23" t="s">
        <v>139</v>
      </c>
      <c r="H161" s="24">
        <v>6187500</v>
      </c>
      <c r="I161" s="25">
        <f>+H161*0.19</f>
        <v>1175625</v>
      </c>
      <c r="J161" s="25">
        <f t="shared" si="177"/>
        <v>7363125</v>
      </c>
      <c r="K161" s="167">
        <v>45271</v>
      </c>
      <c r="L161" s="26">
        <f>+E161+$L$3</f>
        <v>45288</v>
      </c>
      <c r="M161" s="162" t="s">
        <v>302</v>
      </c>
      <c r="N161" s="208"/>
      <c r="O161" s="162">
        <v>45289</v>
      </c>
      <c r="P161" s="179">
        <f>+WEEKNUM(O161,21)</f>
        <v>52</v>
      </c>
      <c r="Q161" s="209">
        <f>+J161</f>
        <v>7363125</v>
      </c>
      <c r="R161" s="27" t="s">
        <v>303</v>
      </c>
      <c r="S161" s="210"/>
    </row>
    <row r="162" spans="1:19" x14ac:dyDescent="0.25">
      <c r="A162" s="1"/>
      <c r="B162" s="21" t="s">
        <v>396</v>
      </c>
      <c r="C162" s="28">
        <v>20124984</v>
      </c>
      <c r="D162" s="21" t="s">
        <v>26</v>
      </c>
      <c r="E162" s="22">
        <v>45270</v>
      </c>
      <c r="F162" s="29">
        <v>0.1</v>
      </c>
      <c r="G162" s="23" t="s">
        <v>139</v>
      </c>
      <c r="H162" s="30">
        <f>+$H$161*F162</f>
        <v>618750</v>
      </c>
      <c r="I162" s="25">
        <f t="shared" ref="I162" si="179">+H162*0.19</f>
        <v>117562.5</v>
      </c>
      <c r="J162" s="25">
        <f t="shared" si="177"/>
        <v>-736312.5</v>
      </c>
      <c r="K162" s="167">
        <v>45272</v>
      </c>
      <c r="L162" s="26">
        <f>+E162+$L$3</f>
        <v>45291</v>
      </c>
      <c r="M162" s="26" t="s">
        <v>475</v>
      </c>
      <c r="N162" s="27"/>
      <c r="O162" s="26"/>
      <c r="P162" s="25"/>
      <c r="Q162" s="27"/>
      <c r="R162" s="27"/>
    </row>
    <row r="163" spans="1:19" x14ac:dyDescent="0.25">
      <c r="A163" s="1"/>
      <c r="B163" s="21" t="s">
        <v>396</v>
      </c>
      <c r="C163" s="28">
        <v>20126210</v>
      </c>
      <c r="D163" s="21" t="s">
        <v>26</v>
      </c>
      <c r="E163" s="22">
        <v>45270</v>
      </c>
      <c r="F163" s="29">
        <v>0.08</v>
      </c>
      <c r="G163" s="31" t="s">
        <v>139</v>
      </c>
      <c r="H163" s="32">
        <f t="shared" ref="H163:H164" si="180">+$H$161*F163</f>
        <v>495000</v>
      </c>
      <c r="I163" s="25">
        <f>+H163*0.19</f>
        <v>94050</v>
      </c>
      <c r="J163" s="25">
        <f>+IF(D163="Compra",-(H163+I163),(H163+I163))</f>
        <v>-589050</v>
      </c>
      <c r="K163" s="169">
        <v>45272</v>
      </c>
      <c r="L163" s="26">
        <f>+E163+$L$3</f>
        <v>45291</v>
      </c>
      <c r="M163" s="26" t="s">
        <v>475</v>
      </c>
      <c r="N163" s="27"/>
      <c r="O163" s="26"/>
      <c r="P163" s="25"/>
      <c r="Q163" s="3"/>
      <c r="R163" s="3"/>
    </row>
    <row r="164" spans="1:19" x14ac:dyDescent="0.25">
      <c r="A164" s="1"/>
      <c r="B164" s="33" t="s">
        <v>396</v>
      </c>
      <c r="C164" s="34">
        <v>20125737</v>
      </c>
      <c r="D164" s="33" t="s">
        <v>26</v>
      </c>
      <c r="E164" s="35">
        <v>45270</v>
      </c>
      <c r="F164" s="36">
        <v>0.04</v>
      </c>
      <c r="G164" s="37" t="s">
        <v>139</v>
      </c>
      <c r="H164" s="38">
        <f t="shared" si="180"/>
        <v>247500</v>
      </c>
      <c r="I164" s="39">
        <f t="shared" ref="I164" si="181">+H164*0.19</f>
        <v>47025</v>
      </c>
      <c r="J164" s="39">
        <f t="shared" ref="J164:J166" si="182">+IF(D164="Compra",-(H164+I164),(H164+I164))</f>
        <v>-294525</v>
      </c>
      <c r="K164" s="168">
        <v>45272</v>
      </c>
      <c r="L164" s="40">
        <f t="shared" ref="L164" si="183">+E164+$L$3</f>
        <v>45291</v>
      </c>
      <c r="M164" s="40" t="s">
        <v>475</v>
      </c>
      <c r="N164" s="41"/>
      <c r="O164" s="40"/>
      <c r="P164" s="39"/>
      <c r="Q164" s="7"/>
      <c r="R164" s="7"/>
    </row>
    <row r="165" spans="1:19" x14ac:dyDescent="0.25">
      <c r="A165" s="1"/>
      <c r="B165" s="21" t="s">
        <v>396</v>
      </c>
      <c r="C165" s="28">
        <v>1087</v>
      </c>
      <c r="D165" s="21" t="s">
        <v>25</v>
      </c>
      <c r="E165" s="22">
        <v>45271</v>
      </c>
      <c r="F165" s="22"/>
      <c r="G165" s="23" t="s">
        <v>139</v>
      </c>
      <c r="H165" s="24">
        <v>6187500</v>
      </c>
      <c r="I165" s="25">
        <f>+H165*0.19</f>
        <v>1175625</v>
      </c>
      <c r="J165" s="25">
        <f t="shared" si="182"/>
        <v>7363125</v>
      </c>
      <c r="K165" s="167">
        <v>45278</v>
      </c>
      <c r="L165" s="26">
        <f>+E165+$L$3</f>
        <v>45292</v>
      </c>
      <c r="M165" s="26" t="s">
        <v>302</v>
      </c>
      <c r="N165" s="27"/>
      <c r="O165" s="162">
        <v>45296</v>
      </c>
      <c r="P165" s="25">
        <f>+WEEKNUM(O165,21)</f>
        <v>1</v>
      </c>
      <c r="Q165" s="27"/>
      <c r="R165" s="27" t="s">
        <v>303</v>
      </c>
      <c r="S165" s="19"/>
    </row>
    <row r="166" spans="1:19" x14ac:dyDescent="0.25">
      <c r="A166" s="1"/>
      <c r="B166" s="21" t="s">
        <v>396</v>
      </c>
      <c r="C166" s="28">
        <v>20129341</v>
      </c>
      <c r="D166" s="21" t="s">
        <v>26</v>
      </c>
      <c r="E166" s="22">
        <v>45277</v>
      </c>
      <c r="F166" s="29">
        <v>0.1</v>
      </c>
      <c r="G166" s="23" t="s">
        <v>139</v>
      </c>
      <c r="H166" s="30">
        <f>+$H$165*F166</f>
        <v>618750</v>
      </c>
      <c r="I166" s="25">
        <f t="shared" ref="I166" si="184">+H166*0.19</f>
        <v>117562.5</v>
      </c>
      <c r="J166" s="25">
        <f t="shared" si="182"/>
        <v>-736312.5</v>
      </c>
      <c r="K166" s="167">
        <v>45279</v>
      </c>
      <c r="L166" s="26">
        <f>+E166+$L$3</f>
        <v>45298</v>
      </c>
      <c r="M166" s="26" t="s">
        <v>475</v>
      </c>
      <c r="N166" s="27"/>
      <c r="O166" s="26"/>
      <c r="P166" s="25"/>
      <c r="Q166" s="27"/>
      <c r="R166" s="27"/>
    </row>
    <row r="167" spans="1:19" x14ac:dyDescent="0.25">
      <c r="A167" s="1"/>
      <c r="B167" s="21" t="s">
        <v>396</v>
      </c>
      <c r="C167" s="28">
        <v>20130008</v>
      </c>
      <c r="D167" s="21" t="s">
        <v>26</v>
      </c>
      <c r="E167" s="22">
        <v>45277</v>
      </c>
      <c r="F167" s="29">
        <v>0.08</v>
      </c>
      <c r="G167" s="31" t="s">
        <v>139</v>
      </c>
      <c r="H167" s="32">
        <f t="shared" ref="H167:H168" si="185">+$H$165*F167</f>
        <v>495000</v>
      </c>
      <c r="I167" s="25">
        <f>+H167*0.19</f>
        <v>94050</v>
      </c>
      <c r="J167" s="25">
        <f>+IF(D167="Compra",-(H167+I167),(H167+I167))</f>
        <v>-589050</v>
      </c>
      <c r="K167" s="167">
        <v>45279</v>
      </c>
      <c r="L167" s="26">
        <f>+E167+$L$3</f>
        <v>45298</v>
      </c>
      <c r="M167" s="26" t="s">
        <v>475</v>
      </c>
      <c r="N167" s="27"/>
      <c r="O167" s="26"/>
      <c r="P167" s="25"/>
      <c r="Q167" s="3"/>
      <c r="R167" s="3"/>
    </row>
    <row r="168" spans="1:19" x14ac:dyDescent="0.25">
      <c r="A168" s="1"/>
      <c r="B168" s="33" t="s">
        <v>396</v>
      </c>
      <c r="C168" s="34">
        <v>20130237</v>
      </c>
      <c r="D168" s="33" t="s">
        <v>26</v>
      </c>
      <c r="E168" s="35">
        <v>45277</v>
      </c>
      <c r="F168" s="36">
        <v>0.04</v>
      </c>
      <c r="G168" s="37" t="s">
        <v>139</v>
      </c>
      <c r="H168" s="38">
        <f t="shared" si="185"/>
        <v>247500</v>
      </c>
      <c r="I168" s="39">
        <f t="shared" ref="I168" si="186">+H168*0.19</f>
        <v>47025</v>
      </c>
      <c r="J168" s="39">
        <f t="shared" ref="J168:J172" si="187">+IF(D168="Compra",-(H168+I168),(H168+I168))</f>
        <v>-294525</v>
      </c>
      <c r="K168" s="168">
        <v>45279</v>
      </c>
      <c r="L168" s="40">
        <f t="shared" ref="L168" si="188">+E168+$L$3</f>
        <v>45298</v>
      </c>
      <c r="M168" s="40" t="s">
        <v>475</v>
      </c>
      <c r="N168" s="41"/>
      <c r="O168" s="40"/>
      <c r="P168" s="39"/>
      <c r="Q168" s="7"/>
      <c r="R168" s="7"/>
    </row>
    <row r="169" spans="1:19" x14ac:dyDescent="0.25">
      <c r="A169" s="1"/>
      <c r="B169" s="21" t="s">
        <v>396</v>
      </c>
      <c r="C169" s="28">
        <v>1088</v>
      </c>
      <c r="D169" s="21" t="s">
        <v>25</v>
      </c>
      <c r="E169" s="22">
        <v>45274</v>
      </c>
      <c r="F169" s="22"/>
      <c r="G169" s="23" t="s">
        <v>139</v>
      </c>
      <c r="H169" s="24">
        <v>4950000</v>
      </c>
      <c r="I169" s="25">
        <f>+H169*0.19</f>
        <v>940500</v>
      </c>
      <c r="J169" s="25">
        <f t="shared" si="187"/>
        <v>5890500</v>
      </c>
      <c r="K169" s="167">
        <v>45278</v>
      </c>
      <c r="L169" s="26">
        <f>+E169+$L$3</f>
        <v>45295</v>
      </c>
      <c r="M169" s="26" t="s">
        <v>302</v>
      </c>
      <c r="N169" s="27"/>
      <c r="O169" s="162">
        <v>45296</v>
      </c>
      <c r="P169" s="25">
        <f>+WEEKNUM(O169,21)</f>
        <v>1</v>
      </c>
      <c r="Q169" s="27"/>
      <c r="R169" s="27" t="s">
        <v>303</v>
      </c>
      <c r="S169" s="19"/>
    </row>
    <row r="170" spans="1:19" s="3" customFormat="1" ht="12" x14ac:dyDescent="0.2">
      <c r="A170" s="1"/>
      <c r="B170" s="21" t="s">
        <v>396</v>
      </c>
      <c r="C170" s="161" t="s">
        <v>474</v>
      </c>
      <c r="D170" s="136" t="s">
        <v>137</v>
      </c>
      <c r="E170" s="162">
        <v>45290</v>
      </c>
      <c r="G170" s="138"/>
      <c r="H170" s="139">
        <f>-2*27500</f>
        <v>-55000</v>
      </c>
      <c r="I170" s="139">
        <f t="shared" ref="I170" si="189">+H170*0.19</f>
        <v>-10450</v>
      </c>
      <c r="J170" s="139">
        <f>+H170+I170</f>
        <v>-65450</v>
      </c>
      <c r="K170" s="196">
        <v>45245</v>
      </c>
      <c r="L170" s="26">
        <f>+E170</f>
        <v>45290</v>
      </c>
      <c r="M170" s="26" t="s">
        <v>302</v>
      </c>
      <c r="O170" s="40">
        <v>45204</v>
      </c>
      <c r="P170" s="25">
        <f t="shared" ref="P170:P171" si="190">+WEEKNUM(O170,21)</f>
        <v>40</v>
      </c>
      <c r="R170" s="27" t="s">
        <v>303</v>
      </c>
    </row>
    <row r="171" spans="1:19" s="3" customFormat="1" ht="12" x14ac:dyDescent="0.2">
      <c r="A171" s="1"/>
      <c r="B171" s="21" t="s">
        <v>396</v>
      </c>
      <c r="C171" s="137"/>
      <c r="D171" s="136" t="s">
        <v>91</v>
      </c>
      <c r="E171" s="141"/>
      <c r="G171" s="142" t="s">
        <v>359</v>
      </c>
      <c r="H171" s="143">
        <f>+SUM(H169:H170)</f>
        <v>4895000</v>
      </c>
      <c r="I171" s="143">
        <f>+SUM(I169:I170)</f>
        <v>930050</v>
      </c>
      <c r="J171" s="143">
        <f>+SUM(J169:J170)</f>
        <v>5825050</v>
      </c>
      <c r="K171" s="197"/>
      <c r="L171" s="145"/>
      <c r="M171" s="145" t="s">
        <v>138</v>
      </c>
      <c r="O171" s="40">
        <v>45204</v>
      </c>
      <c r="P171" s="39">
        <f t="shared" si="190"/>
        <v>40</v>
      </c>
      <c r="Q171" s="7"/>
      <c r="R171" s="41" t="s">
        <v>303</v>
      </c>
    </row>
    <row r="172" spans="1:19" x14ac:dyDescent="0.25">
      <c r="A172" s="1"/>
      <c r="B172" s="21" t="s">
        <v>396</v>
      </c>
      <c r="C172" s="28">
        <v>20129341</v>
      </c>
      <c r="D172" s="21" t="s">
        <v>26</v>
      </c>
      <c r="E172" s="22">
        <v>45277</v>
      </c>
      <c r="F172" s="29">
        <v>0.1</v>
      </c>
      <c r="G172" s="23" t="s">
        <v>139</v>
      </c>
      <c r="H172" s="30">
        <f>+$H$169*F172</f>
        <v>495000</v>
      </c>
      <c r="I172" s="25">
        <f t="shared" ref="I172" si="191">+H172*0.19</f>
        <v>94050</v>
      </c>
      <c r="J172" s="25">
        <f t="shared" si="187"/>
        <v>-589050</v>
      </c>
      <c r="K172" s="167">
        <v>45279</v>
      </c>
      <c r="L172" s="26">
        <f>+E172+$L$3</f>
        <v>45298</v>
      </c>
      <c r="M172" s="26" t="s">
        <v>475</v>
      </c>
      <c r="N172" s="27"/>
      <c r="O172" s="26"/>
      <c r="P172" s="25"/>
      <c r="Q172" s="27"/>
      <c r="R172" s="27"/>
    </row>
    <row r="173" spans="1:19" x14ac:dyDescent="0.25">
      <c r="A173" s="1"/>
      <c r="B173" s="21" t="s">
        <v>396</v>
      </c>
      <c r="C173" s="28">
        <v>20130008</v>
      </c>
      <c r="D173" s="21" t="s">
        <v>26</v>
      </c>
      <c r="E173" s="22">
        <v>45277</v>
      </c>
      <c r="F173" s="29">
        <v>0.08</v>
      </c>
      <c r="G173" s="31" t="s">
        <v>139</v>
      </c>
      <c r="H173" s="32">
        <f t="shared" ref="H173:H174" si="192">+$H$169*F173</f>
        <v>396000</v>
      </c>
      <c r="I173" s="25">
        <f>+H173*0.19</f>
        <v>75240</v>
      </c>
      <c r="J173" s="25">
        <f>+IF(D173="Compra",-(H173+I173),(H173+I173))</f>
        <v>-471240</v>
      </c>
      <c r="K173" s="167">
        <v>45279</v>
      </c>
      <c r="L173" s="26">
        <f>+E173+$L$3</f>
        <v>45298</v>
      </c>
      <c r="M173" s="26" t="s">
        <v>475</v>
      </c>
      <c r="N173" s="27"/>
      <c r="O173" s="26"/>
      <c r="P173" s="25"/>
      <c r="Q173" s="3"/>
      <c r="R173" s="3"/>
    </row>
    <row r="174" spans="1:19" x14ac:dyDescent="0.25">
      <c r="A174" s="1"/>
      <c r="B174" s="33" t="s">
        <v>396</v>
      </c>
      <c r="C174" s="34">
        <v>20130237</v>
      </c>
      <c r="D174" s="33" t="s">
        <v>26</v>
      </c>
      <c r="E174" s="35">
        <v>45277</v>
      </c>
      <c r="F174" s="36">
        <v>0.04</v>
      </c>
      <c r="G174" s="37" t="s">
        <v>139</v>
      </c>
      <c r="H174" s="38">
        <f t="shared" si="192"/>
        <v>198000</v>
      </c>
      <c r="I174" s="39">
        <f t="shared" ref="I174" si="193">+H174*0.19</f>
        <v>37620</v>
      </c>
      <c r="J174" s="39">
        <f t="shared" ref="J174:J176" si="194">+IF(D174="Compra",-(H174+I174),(H174+I174))</f>
        <v>-235620</v>
      </c>
      <c r="K174" s="168">
        <v>45279</v>
      </c>
      <c r="L174" s="40">
        <f t="shared" ref="L174" si="195">+E174+$L$3</f>
        <v>45298</v>
      </c>
      <c r="M174" s="40" t="s">
        <v>475</v>
      </c>
      <c r="N174" s="41"/>
      <c r="O174" s="40"/>
      <c r="P174" s="39"/>
      <c r="Q174" s="7"/>
      <c r="R174" s="7"/>
    </row>
    <row r="175" spans="1:19" x14ac:dyDescent="0.25">
      <c r="A175" s="1"/>
      <c r="B175" s="21" t="s">
        <v>396</v>
      </c>
      <c r="C175" s="28">
        <v>1091</v>
      </c>
      <c r="D175" s="21" t="s">
        <v>25</v>
      </c>
      <c r="E175" s="22">
        <v>45278</v>
      </c>
      <c r="F175" s="22"/>
      <c r="G175" s="23" t="s">
        <v>139</v>
      </c>
      <c r="H175" s="24">
        <v>6187500</v>
      </c>
      <c r="I175" s="25">
        <f>+H175*0.19</f>
        <v>1175625</v>
      </c>
      <c r="J175" s="25">
        <f t="shared" si="194"/>
        <v>7363125</v>
      </c>
      <c r="K175" s="167">
        <v>45280</v>
      </c>
      <c r="L175" s="26">
        <f>+E175+$L$3</f>
        <v>45299</v>
      </c>
      <c r="M175" s="26" t="s">
        <v>475</v>
      </c>
      <c r="N175" s="27"/>
      <c r="O175" s="141">
        <v>44938</v>
      </c>
      <c r="P175" s="25">
        <f>+WEEKNUM(O175,21)</f>
        <v>2</v>
      </c>
      <c r="Q175" s="27"/>
      <c r="R175" s="27"/>
      <c r="S175" s="19"/>
    </row>
    <row r="176" spans="1:19" x14ac:dyDescent="0.25">
      <c r="A176" s="1"/>
      <c r="B176" s="21" t="s">
        <v>396</v>
      </c>
      <c r="C176" s="28">
        <v>20132130</v>
      </c>
      <c r="D176" s="21" t="s">
        <v>26</v>
      </c>
      <c r="E176" s="22">
        <v>45284</v>
      </c>
      <c r="F176" s="29">
        <v>0.1</v>
      </c>
      <c r="G176" s="23" t="s">
        <v>139</v>
      </c>
      <c r="H176" s="30">
        <f>+$H$175*F176</f>
        <v>618750</v>
      </c>
      <c r="I176" s="25">
        <f t="shared" ref="I176" si="196">+H176*0.19</f>
        <v>117562.5</v>
      </c>
      <c r="J176" s="25">
        <f t="shared" si="194"/>
        <v>-736312.5</v>
      </c>
      <c r="K176" s="167">
        <v>45286</v>
      </c>
      <c r="L176" s="26">
        <f>+E176+$L$3</f>
        <v>45305</v>
      </c>
      <c r="M176" s="26" t="s">
        <v>475</v>
      </c>
      <c r="N176" s="27"/>
      <c r="O176" s="26"/>
      <c r="P176" s="25"/>
      <c r="Q176" s="27"/>
      <c r="R176" s="27"/>
    </row>
    <row r="177" spans="1:19" x14ac:dyDescent="0.25">
      <c r="A177" s="1"/>
      <c r="B177" s="21" t="s">
        <v>396</v>
      </c>
      <c r="C177" s="28">
        <v>20134252</v>
      </c>
      <c r="D177" s="21" t="s">
        <v>26</v>
      </c>
      <c r="E177" s="22">
        <v>45284</v>
      </c>
      <c r="F177" s="29">
        <v>0.08</v>
      </c>
      <c r="G177" s="31" t="s">
        <v>139</v>
      </c>
      <c r="H177" s="32">
        <f t="shared" ref="H177:H178" si="197">+$H$175*F177</f>
        <v>495000</v>
      </c>
      <c r="I177" s="25">
        <f>+H177*0.19</f>
        <v>94050</v>
      </c>
      <c r="J177" s="25">
        <f>+IF(D177="Compra",-(H177+I177),(H177+I177))</f>
        <v>-589050</v>
      </c>
      <c r="K177" s="169">
        <v>45286</v>
      </c>
      <c r="L177" s="26">
        <f>+E177+$L$3</f>
        <v>45305</v>
      </c>
      <c r="M177" s="26" t="s">
        <v>475</v>
      </c>
      <c r="N177" s="27"/>
      <c r="O177" s="26"/>
      <c r="P177" s="25"/>
      <c r="Q177" s="3"/>
      <c r="R177" s="3"/>
    </row>
    <row r="178" spans="1:19" x14ac:dyDescent="0.25">
      <c r="A178" s="1"/>
      <c r="B178" s="33" t="s">
        <v>396</v>
      </c>
      <c r="C178" s="34">
        <v>20133743</v>
      </c>
      <c r="D178" s="33" t="s">
        <v>26</v>
      </c>
      <c r="E178" s="35">
        <v>45284</v>
      </c>
      <c r="F178" s="36">
        <v>0.04</v>
      </c>
      <c r="G178" s="37" t="s">
        <v>139</v>
      </c>
      <c r="H178" s="38">
        <f t="shared" si="197"/>
        <v>247500</v>
      </c>
      <c r="I178" s="39">
        <f t="shared" ref="I178" si="198">+H178*0.19</f>
        <v>47025</v>
      </c>
      <c r="J178" s="39">
        <f t="shared" ref="J178:J180" si="199">+IF(D178="Compra",-(H178+I178),(H178+I178))</f>
        <v>-294525</v>
      </c>
      <c r="K178" s="168">
        <v>45286</v>
      </c>
      <c r="L178" s="40">
        <f t="shared" ref="L178" si="200">+E178+$L$3</f>
        <v>45305</v>
      </c>
      <c r="M178" s="40" t="s">
        <v>475</v>
      </c>
      <c r="N178" s="41"/>
      <c r="O178" s="40"/>
      <c r="P178" s="39"/>
      <c r="Q178" s="7"/>
      <c r="R178" s="7"/>
    </row>
    <row r="179" spans="1:19" x14ac:dyDescent="0.25">
      <c r="A179" s="1"/>
      <c r="B179" s="21" t="s">
        <v>396</v>
      </c>
      <c r="C179" s="28">
        <v>1093</v>
      </c>
      <c r="D179" s="21" t="s">
        <v>25</v>
      </c>
      <c r="E179" s="22">
        <v>45281</v>
      </c>
      <c r="F179" s="22"/>
      <c r="G179" s="23" t="s">
        <v>139</v>
      </c>
      <c r="H179" s="24">
        <v>6187500</v>
      </c>
      <c r="I179" s="25">
        <f>+H179*0.19</f>
        <v>1175625</v>
      </c>
      <c r="J179" s="25">
        <f t="shared" si="199"/>
        <v>7363125</v>
      </c>
      <c r="K179" s="167">
        <v>45283</v>
      </c>
      <c r="L179" s="26">
        <f>+E179+$L$3</f>
        <v>45302</v>
      </c>
      <c r="M179" s="26" t="s">
        <v>475</v>
      </c>
      <c r="N179" s="27"/>
      <c r="O179" s="141">
        <v>44938</v>
      </c>
      <c r="P179" s="25">
        <f>+WEEKNUM(O179,21)</f>
        <v>2</v>
      </c>
      <c r="Q179" s="27"/>
      <c r="R179" s="27"/>
      <c r="S179" s="19"/>
    </row>
    <row r="180" spans="1:19" x14ac:dyDescent="0.25">
      <c r="A180" s="1"/>
      <c r="B180" s="21" t="s">
        <v>396</v>
      </c>
      <c r="C180" s="28">
        <v>20132130</v>
      </c>
      <c r="D180" s="21" t="s">
        <v>26</v>
      </c>
      <c r="E180" s="22">
        <v>45284</v>
      </c>
      <c r="F180" s="29">
        <v>0.1</v>
      </c>
      <c r="G180" s="23" t="s">
        <v>139</v>
      </c>
      <c r="H180" s="30">
        <f>+$H$179*F180</f>
        <v>618750</v>
      </c>
      <c r="I180" s="25">
        <f t="shared" ref="I180" si="201">+H180*0.19</f>
        <v>117562.5</v>
      </c>
      <c r="J180" s="25">
        <f t="shared" si="199"/>
        <v>-736312.5</v>
      </c>
      <c r="K180" s="167">
        <v>45286</v>
      </c>
      <c r="L180" s="26">
        <f>+E180+$L$3</f>
        <v>45305</v>
      </c>
      <c r="M180" s="26" t="s">
        <v>475</v>
      </c>
      <c r="N180" s="27"/>
      <c r="O180" s="26"/>
      <c r="P180" s="25"/>
      <c r="Q180" s="27"/>
      <c r="R180" s="27"/>
    </row>
    <row r="181" spans="1:19" x14ac:dyDescent="0.25">
      <c r="A181" s="1"/>
      <c r="B181" s="21" t="s">
        <v>396</v>
      </c>
      <c r="C181" s="28">
        <v>20134252</v>
      </c>
      <c r="D181" s="21" t="s">
        <v>26</v>
      </c>
      <c r="E181" s="22">
        <v>45284</v>
      </c>
      <c r="F181" s="29">
        <v>0.08</v>
      </c>
      <c r="G181" s="31" t="s">
        <v>139</v>
      </c>
      <c r="H181" s="32">
        <f t="shared" ref="H181:H182" si="202">+$H$179*F181</f>
        <v>495000</v>
      </c>
      <c r="I181" s="25">
        <f>+H181*0.19</f>
        <v>94050</v>
      </c>
      <c r="J181" s="25">
        <f>+IF(D181="Compra",-(H181+I181),(H181+I181))</f>
        <v>-589050</v>
      </c>
      <c r="K181" s="169">
        <v>45286</v>
      </c>
      <c r="L181" s="26">
        <f>+E181+$L$3</f>
        <v>45305</v>
      </c>
      <c r="M181" s="26" t="s">
        <v>475</v>
      </c>
      <c r="N181" s="27"/>
      <c r="O181" s="26"/>
      <c r="P181" s="25"/>
      <c r="Q181" s="3"/>
      <c r="R181" s="3"/>
    </row>
    <row r="182" spans="1:19" x14ac:dyDescent="0.25">
      <c r="A182" s="1"/>
      <c r="B182" s="33" t="s">
        <v>396</v>
      </c>
      <c r="C182" s="34">
        <v>20133743</v>
      </c>
      <c r="D182" s="33" t="s">
        <v>26</v>
      </c>
      <c r="E182" s="35">
        <v>45284</v>
      </c>
      <c r="F182" s="36">
        <v>0.04</v>
      </c>
      <c r="G182" s="37" t="s">
        <v>139</v>
      </c>
      <c r="H182" s="38">
        <f t="shared" si="202"/>
        <v>247500</v>
      </c>
      <c r="I182" s="39">
        <f t="shared" ref="I182" si="203">+H182*0.19</f>
        <v>47025</v>
      </c>
      <c r="J182" s="39">
        <f t="shared" ref="J182:J184" si="204">+IF(D182="Compra",-(H182+I182),(H182+I182))</f>
        <v>-294525</v>
      </c>
      <c r="K182" s="168">
        <v>45286</v>
      </c>
      <c r="L182" s="40">
        <f t="shared" ref="L182" si="205">+E182+$L$3</f>
        <v>45305</v>
      </c>
      <c r="M182" s="40" t="s">
        <v>475</v>
      </c>
      <c r="N182" s="41"/>
      <c r="O182" s="40"/>
      <c r="P182" s="39"/>
      <c r="Q182" s="7"/>
      <c r="R182" s="7"/>
    </row>
    <row r="183" spans="1:19" x14ac:dyDescent="0.25">
      <c r="A183" s="1"/>
      <c r="B183" s="21" t="s">
        <v>473</v>
      </c>
      <c r="C183" s="28">
        <v>1096</v>
      </c>
      <c r="D183" s="21" t="s">
        <v>25</v>
      </c>
      <c r="E183" s="22">
        <v>45286</v>
      </c>
      <c r="F183" s="22"/>
      <c r="G183" s="23" t="s">
        <v>139</v>
      </c>
      <c r="H183" s="24">
        <v>12852000</v>
      </c>
      <c r="I183" s="25">
        <f>+H183*0.19</f>
        <v>2441880</v>
      </c>
      <c r="J183" s="25">
        <f t="shared" si="204"/>
        <v>15293880</v>
      </c>
      <c r="K183" s="167">
        <v>45262</v>
      </c>
      <c r="L183" s="26">
        <f>+E183+$L$3</f>
        <v>45307</v>
      </c>
      <c r="M183" s="26" t="s">
        <v>475</v>
      </c>
      <c r="N183" s="27"/>
      <c r="O183" s="141">
        <v>44945</v>
      </c>
      <c r="P183" s="25">
        <f>+WEEKNUM(O183,21)</f>
        <v>3</v>
      </c>
      <c r="Q183" s="27"/>
      <c r="R183" s="27"/>
      <c r="S183" s="19"/>
    </row>
    <row r="184" spans="1:19" x14ac:dyDescent="0.25">
      <c r="A184" s="1"/>
      <c r="B184" s="21" t="s">
        <v>473</v>
      </c>
      <c r="C184" s="28">
        <v>20139064</v>
      </c>
      <c r="D184" s="21" t="s">
        <v>26</v>
      </c>
      <c r="E184" s="22">
        <v>45291</v>
      </c>
      <c r="F184" s="29">
        <v>0.1</v>
      </c>
      <c r="G184" s="23" t="s">
        <v>139</v>
      </c>
      <c r="H184" s="30">
        <f>+$H$183*F184</f>
        <v>1285200</v>
      </c>
      <c r="I184" s="25">
        <f t="shared" ref="I184" si="206">+H184*0.19</f>
        <v>244188</v>
      </c>
      <c r="J184" s="25">
        <f t="shared" si="204"/>
        <v>-1529388</v>
      </c>
      <c r="K184" s="167">
        <v>45293</v>
      </c>
      <c r="L184" s="26">
        <f>+E184+$L$3</f>
        <v>45312</v>
      </c>
      <c r="M184" s="26" t="s">
        <v>475</v>
      </c>
      <c r="N184" s="27"/>
      <c r="O184" s="26"/>
      <c r="P184" s="25"/>
      <c r="Q184" s="27"/>
      <c r="R184" s="27"/>
    </row>
    <row r="185" spans="1:19" x14ac:dyDescent="0.25">
      <c r="A185" s="1"/>
      <c r="B185" s="21" t="s">
        <v>473</v>
      </c>
      <c r="C185" s="28">
        <v>20139856</v>
      </c>
      <c r="D185" s="21" t="s">
        <v>26</v>
      </c>
      <c r="E185" s="22">
        <v>45291</v>
      </c>
      <c r="F185" s="29">
        <v>0.08</v>
      </c>
      <c r="G185" s="31" t="s">
        <v>139</v>
      </c>
      <c r="H185" s="32">
        <f t="shared" ref="H185:H186" si="207">+$H$183*F185</f>
        <v>1028160</v>
      </c>
      <c r="I185" s="25">
        <f>+H185*0.19</f>
        <v>195350.39999999999</v>
      </c>
      <c r="J185" s="25">
        <f>+IF(D185="Compra",-(H185+I185),(H185+I185))</f>
        <v>-1223510.3999999999</v>
      </c>
      <c r="K185" s="167">
        <v>45293</v>
      </c>
      <c r="L185" s="26">
        <f>+E185+$L$3</f>
        <v>45312</v>
      </c>
      <c r="M185" s="26" t="s">
        <v>475</v>
      </c>
      <c r="N185" s="27"/>
      <c r="O185" s="26"/>
      <c r="P185" s="25"/>
      <c r="Q185" s="3"/>
      <c r="R185" s="3"/>
    </row>
    <row r="186" spans="1:19" x14ac:dyDescent="0.25">
      <c r="A186" s="1"/>
      <c r="B186" s="33" t="s">
        <v>473</v>
      </c>
      <c r="C186" s="34">
        <v>20140019</v>
      </c>
      <c r="D186" s="33" t="s">
        <v>26</v>
      </c>
      <c r="E186" s="35">
        <v>45291</v>
      </c>
      <c r="F186" s="36">
        <v>0.04</v>
      </c>
      <c r="G186" s="37" t="s">
        <v>139</v>
      </c>
      <c r="H186" s="38">
        <f t="shared" si="207"/>
        <v>514080</v>
      </c>
      <c r="I186" s="39">
        <f t="shared" ref="I186" si="208">+H186*0.19</f>
        <v>97675.199999999997</v>
      </c>
      <c r="J186" s="39">
        <f t="shared" ref="J186:J192" si="209">+IF(D186="Compra",-(H186+I186),(H186+I186))</f>
        <v>-611755.19999999995</v>
      </c>
      <c r="K186" s="168">
        <v>45293</v>
      </c>
      <c r="L186" s="40">
        <f t="shared" ref="L186" si="210">+E186+$L$3</f>
        <v>45312</v>
      </c>
      <c r="M186" s="40" t="s">
        <v>475</v>
      </c>
      <c r="N186" s="41"/>
      <c r="O186" s="40"/>
      <c r="P186" s="39"/>
      <c r="Q186" s="7"/>
      <c r="R186" s="7"/>
    </row>
    <row r="187" spans="1:19" x14ac:dyDescent="0.25">
      <c r="A187" s="1"/>
      <c r="B187" s="21" t="s">
        <v>473</v>
      </c>
      <c r="C187" s="28">
        <v>1097</v>
      </c>
      <c r="D187" s="21" t="s">
        <v>25</v>
      </c>
      <c r="E187" s="22">
        <v>45288</v>
      </c>
      <c r="F187" s="22"/>
      <c r="G187" s="23" t="s">
        <v>139</v>
      </c>
      <c r="H187" s="24">
        <v>12852000</v>
      </c>
      <c r="I187" s="25">
        <f>+H187*0.19</f>
        <v>2441880</v>
      </c>
      <c r="J187" s="25">
        <f t="shared" si="209"/>
        <v>15293880</v>
      </c>
      <c r="K187" s="167">
        <v>45262</v>
      </c>
      <c r="L187" s="26">
        <f>+E187+$L$3</f>
        <v>45309</v>
      </c>
      <c r="M187" s="26" t="s">
        <v>475</v>
      </c>
      <c r="N187" s="27"/>
      <c r="O187" s="141">
        <v>44945</v>
      </c>
      <c r="P187" s="25">
        <f>+WEEKNUM(O187,21)</f>
        <v>3</v>
      </c>
      <c r="Q187" s="27"/>
      <c r="R187" s="27"/>
      <c r="S187" s="19"/>
    </row>
    <row r="188" spans="1:19" x14ac:dyDescent="0.25">
      <c r="A188" s="1"/>
      <c r="B188" s="21" t="s">
        <v>473</v>
      </c>
      <c r="C188" s="28">
        <v>20139064</v>
      </c>
      <c r="D188" s="21" t="s">
        <v>26</v>
      </c>
      <c r="E188" s="22">
        <v>45291</v>
      </c>
      <c r="F188" s="29">
        <v>0.1</v>
      </c>
      <c r="G188" s="23" t="s">
        <v>139</v>
      </c>
      <c r="H188" s="30">
        <f>+$H$187*F188</f>
        <v>1285200</v>
      </c>
      <c r="I188" s="25">
        <f t="shared" ref="I188" si="211">+H188*0.19</f>
        <v>244188</v>
      </c>
      <c r="J188" s="25">
        <f t="shared" si="209"/>
        <v>-1529388</v>
      </c>
      <c r="K188" s="167">
        <v>45293</v>
      </c>
      <c r="L188" s="26">
        <f>+E188+$L$3</f>
        <v>45312</v>
      </c>
      <c r="M188" s="26" t="s">
        <v>475</v>
      </c>
      <c r="N188" s="27"/>
      <c r="O188" s="26"/>
      <c r="P188" s="25"/>
      <c r="Q188" s="27"/>
      <c r="R188" s="27"/>
    </row>
    <row r="189" spans="1:19" x14ac:dyDescent="0.25">
      <c r="A189" s="1"/>
      <c r="B189" s="21" t="s">
        <v>473</v>
      </c>
      <c r="C189" s="28">
        <v>20139856</v>
      </c>
      <c r="D189" s="21" t="s">
        <v>26</v>
      </c>
      <c r="E189" s="22">
        <v>45291</v>
      </c>
      <c r="F189" s="29">
        <v>0.08</v>
      </c>
      <c r="G189" s="31" t="s">
        <v>139</v>
      </c>
      <c r="H189" s="32">
        <f t="shared" ref="H189:H190" si="212">+$H$187*F189</f>
        <v>1028160</v>
      </c>
      <c r="I189" s="25">
        <f>+H189*0.19</f>
        <v>195350.39999999999</v>
      </c>
      <c r="J189" s="25">
        <f>+IF(D189="Compra",-(H189+I189),(H189+I189))</f>
        <v>-1223510.3999999999</v>
      </c>
      <c r="K189" s="167">
        <v>45293</v>
      </c>
      <c r="L189" s="26">
        <f>+E189+$L$3</f>
        <v>45312</v>
      </c>
      <c r="M189" s="26" t="s">
        <v>475</v>
      </c>
      <c r="N189" s="27"/>
      <c r="O189" s="26"/>
      <c r="P189" s="25"/>
      <c r="Q189" s="3"/>
      <c r="R189" s="3"/>
    </row>
    <row r="190" spans="1:19" x14ac:dyDescent="0.25">
      <c r="A190" s="1"/>
      <c r="B190" s="33" t="s">
        <v>473</v>
      </c>
      <c r="C190" s="34">
        <v>20140019</v>
      </c>
      <c r="D190" s="33" t="s">
        <v>26</v>
      </c>
      <c r="E190" s="35">
        <v>45291</v>
      </c>
      <c r="F190" s="36">
        <v>0.04</v>
      </c>
      <c r="G190" s="37" t="s">
        <v>139</v>
      </c>
      <c r="H190" s="38">
        <f t="shared" si="212"/>
        <v>514080</v>
      </c>
      <c r="I190" s="39">
        <f t="shared" ref="I190" si="213">+H190*0.19</f>
        <v>97675.199999999997</v>
      </c>
      <c r="J190" s="39">
        <f t="shared" ref="J190" si="214">+IF(D190="Compra",-(H190+I190),(H190+I190))</f>
        <v>-611755.19999999995</v>
      </c>
      <c r="K190" s="168">
        <v>45293</v>
      </c>
      <c r="L190" s="40">
        <f t="shared" ref="L190" si="215">+E190+$L$3</f>
        <v>45312</v>
      </c>
      <c r="M190" s="40" t="s">
        <v>475</v>
      </c>
      <c r="N190" s="41"/>
      <c r="O190" s="40"/>
      <c r="P190" s="39"/>
      <c r="Q190" s="7"/>
      <c r="R190" s="7"/>
    </row>
    <row r="191" spans="1:19" x14ac:dyDescent="0.25">
      <c r="A191" s="1"/>
      <c r="B191" s="21" t="s">
        <v>396</v>
      </c>
      <c r="C191" s="28">
        <v>1098</v>
      </c>
      <c r="D191" s="21" t="s">
        <v>25</v>
      </c>
      <c r="E191" s="22">
        <v>45288</v>
      </c>
      <c r="F191" s="22"/>
      <c r="G191" s="23" t="s">
        <v>139</v>
      </c>
      <c r="H191" s="24">
        <v>6187500</v>
      </c>
      <c r="I191" s="25">
        <f>+H191*0.19</f>
        <v>1175625</v>
      </c>
      <c r="J191" s="25">
        <f t="shared" si="209"/>
        <v>7363125</v>
      </c>
      <c r="K191" s="167">
        <v>45262</v>
      </c>
      <c r="L191" s="26">
        <f>+E191+$L$3</f>
        <v>45309</v>
      </c>
      <c r="M191" s="26" t="s">
        <v>475</v>
      </c>
      <c r="N191" s="27"/>
      <c r="O191" s="141">
        <v>44945</v>
      </c>
      <c r="P191" s="25">
        <f>+WEEKNUM(O191,21)</f>
        <v>3</v>
      </c>
      <c r="Q191" s="27"/>
      <c r="R191" s="27"/>
      <c r="S191" s="19"/>
    </row>
    <row r="192" spans="1:19" x14ac:dyDescent="0.25">
      <c r="A192" s="1"/>
      <c r="B192" s="21" t="s">
        <v>396</v>
      </c>
      <c r="C192" s="28">
        <v>20139064</v>
      </c>
      <c r="D192" s="21" t="s">
        <v>26</v>
      </c>
      <c r="E192" s="22">
        <v>45291</v>
      </c>
      <c r="F192" s="29">
        <v>0.1</v>
      </c>
      <c r="G192" s="23" t="s">
        <v>139</v>
      </c>
      <c r="H192" s="30">
        <f>+$H$191*F192</f>
        <v>618750</v>
      </c>
      <c r="I192" s="25">
        <f t="shared" ref="I192" si="216">+H192*0.19</f>
        <v>117562.5</v>
      </c>
      <c r="J192" s="25">
        <f t="shared" si="209"/>
        <v>-736312.5</v>
      </c>
      <c r="K192" s="167">
        <v>45293</v>
      </c>
      <c r="L192" s="26">
        <f>+E192+$L$3</f>
        <v>45312</v>
      </c>
      <c r="M192" s="26" t="s">
        <v>475</v>
      </c>
      <c r="N192" s="27"/>
      <c r="O192" s="26"/>
      <c r="P192" s="25"/>
      <c r="Q192" s="27"/>
      <c r="R192" s="27"/>
    </row>
    <row r="193" spans="1:19" x14ac:dyDescent="0.25">
      <c r="A193" s="1"/>
      <c r="B193" s="21" t="s">
        <v>396</v>
      </c>
      <c r="C193" s="28">
        <v>20139856</v>
      </c>
      <c r="D193" s="21" t="s">
        <v>26</v>
      </c>
      <c r="E193" s="22">
        <v>45291</v>
      </c>
      <c r="F193" s="29">
        <v>0.08</v>
      </c>
      <c r="G193" s="31" t="s">
        <v>139</v>
      </c>
      <c r="H193" s="32">
        <f t="shared" ref="H193:H194" si="217">+$H$191*F193</f>
        <v>495000</v>
      </c>
      <c r="I193" s="25">
        <f>+H193*0.19</f>
        <v>94050</v>
      </c>
      <c r="J193" s="25">
        <f>+IF(D193="Compra",-(H193+I193),(H193+I193))</f>
        <v>-589050</v>
      </c>
      <c r="K193" s="167">
        <v>45293</v>
      </c>
      <c r="L193" s="26">
        <f>+E193+$L$3</f>
        <v>45312</v>
      </c>
      <c r="M193" s="26" t="s">
        <v>475</v>
      </c>
      <c r="N193" s="27"/>
      <c r="O193" s="26"/>
      <c r="P193" s="25"/>
      <c r="Q193" s="3"/>
      <c r="R193" s="3"/>
    </row>
    <row r="194" spans="1:19" x14ac:dyDescent="0.25">
      <c r="A194" s="1"/>
      <c r="B194" s="33" t="s">
        <v>396</v>
      </c>
      <c r="C194" s="34">
        <v>20140019</v>
      </c>
      <c r="D194" s="33" t="s">
        <v>26</v>
      </c>
      <c r="E194" s="35">
        <v>45291</v>
      </c>
      <c r="F194" s="36">
        <v>0.04</v>
      </c>
      <c r="G194" s="37" t="s">
        <v>139</v>
      </c>
      <c r="H194" s="38">
        <f t="shared" si="217"/>
        <v>247500</v>
      </c>
      <c r="I194" s="39">
        <f t="shared" ref="I194" si="218">+H194*0.19</f>
        <v>47025</v>
      </c>
      <c r="J194" s="39">
        <f t="shared" ref="J194:J197" si="219">+IF(D194="Compra",-(H194+I194),(H194+I194))</f>
        <v>-294525</v>
      </c>
      <c r="K194" s="168">
        <v>45293</v>
      </c>
      <c r="L194" s="40">
        <f t="shared" ref="L194" si="220">+E194+$L$3</f>
        <v>45312</v>
      </c>
      <c r="M194" s="40" t="s">
        <v>475</v>
      </c>
      <c r="N194" s="41"/>
      <c r="O194" s="40"/>
      <c r="P194" s="39"/>
      <c r="Q194" s="7"/>
      <c r="R194" s="7"/>
    </row>
    <row r="195" spans="1:19" x14ac:dyDescent="0.25">
      <c r="A195" s="1"/>
      <c r="B195" s="146" t="s">
        <v>396</v>
      </c>
      <c r="C195" s="147">
        <v>20141636</v>
      </c>
      <c r="D195" s="146" t="s">
        <v>26</v>
      </c>
      <c r="E195" s="148">
        <v>45293</v>
      </c>
      <c r="F195" s="186">
        <v>1E-3</v>
      </c>
      <c r="G195" s="149" t="s">
        <v>139</v>
      </c>
      <c r="H195" s="150">
        <v>131256</v>
      </c>
      <c r="I195" s="151">
        <f>+H195*0.19</f>
        <v>24938.639999999999</v>
      </c>
      <c r="J195" s="151">
        <f t="shared" si="219"/>
        <v>-156194.64000000001</v>
      </c>
      <c r="K195" s="166">
        <v>45295</v>
      </c>
      <c r="L195" s="152">
        <v>45323</v>
      </c>
      <c r="M195" s="40" t="s">
        <v>475</v>
      </c>
      <c r="N195" s="153"/>
      <c r="O195" s="152"/>
      <c r="P195" s="151"/>
      <c r="Q195" s="187"/>
      <c r="R195" s="187"/>
    </row>
    <row r="196" spans="1:19" x14ac:dyDescent="0.25">
      <c r="A196" s="1"/>
      <c r="B196" s="21" t="s">
        <v>396</v>
      </c>
      <c r="C196" s="28">
        <v>1101</v>
      </c>
      <c r="D196" s="21" t="s">
        <v>25</v>
      </c>
      <c r="E196" s="22">
        <v>45293</v>
      </c>
      <c r="F196" s="22"/>
      <c r="G196" s="23" t="s">
        <v>139</v>
      </c>
      <c r="H196" s="24">
        <v>6187500</v>
      </c>
      <c r="I196" s="25">
        <f>+H196*0.19</f>
        <v>1175625</v>
      </c>
      <c r="J196" s="25">
        <f t="shared" si="219"/>
        <v>7363125</v>
      </c>
      <c r="K196" s="167">
        <v>45295</v>
      </c>
      <c r="L196" s="26">
        <f>+E196+$L$3</f>
        <v>45314</v>
      </c>
      <c r="M196" s="26" t="s">
        <v>475</v>
      </c>
      <c r="N196" s="27"/>
      <c r="O196" s="26"/>
      <c r="P196" s="25">
        <f>+WEEKNUM(O196,21)</f>
        <v>52</v>
      </c>
      <c r="Q196" s="27"/>
      <c r="R196" s="27"/>
      <c r="S196" s="19"/>
    </row>
    <row r="197" spans="1:19" x14ac:dyDescent="0.25">
      <c r="A197" s="1"/>
      <c r="B197" s="21" t="s">
        <v>396</v>
      </c>
      <c r="C197" s="28">
        <v>20144020</v>
      </c>
      <c r="D197" s="21" t="s">
        <v>26</v>
      </c>
      <c r="E197" s="22">
        <v>45298</v>
      </c>
      <c r="F197" s="29">
        <v>0.1</v>
      </c>
      <c r="G197" s="23" t="s">
        <v>139</v>
      </c>
      <c r="H197" s="30">
        <f>+$H$196*F197</f>
        <v>618750</v>
      </c>
      <c r="I197" s="25">
        <f t="shared" ref="I197" si="221">+H197*0.19</f>
        <v>117562.5</v>
      </c>
      <c r="J197" s="25">
        <f t="shared" si="219"/>
        <v>-736312.5</v>
      </c>
      <c r="K197" s="167">
        <v>45300</v>
      </c>
      <c r="L197" s="26">
        <f>+E197+$L$3</f>
        <v>45319</v>
      </c>
      <c r="M197" s="26" t="s">
        <v>543</v>
      </c>
      <c r="N197" s="27"/>
      <c r="O197" s="26"/>
      <c r="P197" s="25"/>
      <c r="Q197" s="27"/>
      <c r="R197" s="27"/>
    </row>
    <row r="198" spans="1:19" x14ac:dyDescent="0.25">
      <c r="A198" s="1"/>
      <c r="B198" s="21" t="s">
        <v>396</v>
      </c>
      <c r="C198" s="28">
        <v>20146377</v>
      </c>
      <c r="D198" s="21" t="s">
        <v>26</v>
      </c>
      <c r="E198" s="22">
        <v>45298</v>
      </c>
      <c r="F198" s="29">
        <v>0.08</v>
      </c>
      <c r="G198" s="31" t="s">
        <v>139</v>
      </c>
      <c r="H198" s="32">
        <f t="shared" ref="H198:H199" si="222">+$H$196*F198</f>
        <v>495000</v>
      </c>
      <c r="I198" s="25">
        <f>+H198*0.19</f>
        <v>94050</v>
      </c>
      <c r="J198" s="25">
        <f>+IF(D198="Compra",-(H198+I198),(H198+I198))</f>
        <v>-589050</v>
      </c>
      <c r="K198" s="167">
        <v>45300</v>
      </c>
      <c r="L198" s="26">
        <f>+E198+$L$3</f>
        <v>45319</v>
      </c>
      <c r="M198" s="26" t="s">
        <v>543</v>
      </c>
      <c r="N198" s="27"/>
      <c r="O198" s="26"/>
      <c r="P198" s="25"/>
      <c r="Q198" s="3"/>
      <c r="R198" s="3"/>
    </row>
    <row r="199" spans="1:19" x14ac:dyDescent="0.25">
      <c r="A199" s="1"/>
      <c r="B199" s="33" t="s">
        <v>396</v>
      </c>
      <c r="C199" s="34">
        <v>20146632</v>
      </c>
      <c r="D199" s="33" t="s">
        <v>26</v>
      </c>
      <c r="E199" s="35">
        <v>45298</v>
      </c>
      <c r="F199" s="36">
        <v>0.04</v>
      </c>
      <c r="G199" s="37" t="s">
        <v>139</v>
      </c>
      <c r="H199" s="38">
        <f t="shared" si="222"/>
        <v>247500</v>
      </c>
      <c r="I199" s="39">
        <f t="shared" ref="I199" si="223">+H199*0.19</f>
        <v>47025</v>
      </c>
      <c r="J199" s="39">
        <f t="shared" ref="J199:J201" si="224">+IF(D199="Compra",-(H199+I199),(H199+I199))</f>
        <v>-294525</v>
      </c>
      <c r="K199" s="168">
        <v>45300</v>
      </c>
      <c r="L199" s="40">
        <f t="shared" ref="L199" si="225">+E199+$L$3</f>
        <v>45319</v>
      </c>
      <c r="M199" s="40" t="s">
        <v>543</v>
      </c>
      <c r="N199" s="41"/>
      <c r="O199" s="40"/>
      <c r="P199" s="39"/>
      <c r="Q199" s="7"/>
      <c r="R199" s="7"/>
    </row>
    <row r="200" spans="1:19" x14ac:dyDescent="0.25">
      <c r="A200" s="1"/>
      <c r="B200" s="21" t="s">
        <v>473</v>
      </c>
      <c r="C200" s="28">
        <v>1102</v>
      </c>
      <c r="D200" s="21" t="s">
        <v>25</v>
      </c>
      <c r="E200" s="22">
        <v>45293</v>
      </c>
      <c r="F200" s="22"/>
      <c r="G200" s="23" t="s">
        <v>139</v>
      </c>
      <c r="H200" s="24">
        <v>12852000</v>
      </c>
      <c r="I200" s="25">
        <f>+H200*0.19</f>
        <v>2441880</v>
      </c>
      <c r="J200" s="25">
        <f t="shared" si="224"/>
        <v>15293880</v>
      </c>
      <c r="K200" s="167">
        <v>45295</v>
      </c>
      <c r="L200" s="26">
        <f>+E200+$L$3</f>
        <v>45314</v>
      </c>
      <c r="M200" s="26" t="s">
        <v>475</v>
      </c>
      <c r="N200" s="27"/>
      <c r="O200" s="26"/>
      <c r="P200" s="25">
        <f>+WEEKNUM(O200,21)</f>
        <v>52</v>
      </c>
      <c r="Q200" s="27"/>
      <c r="R200" s="27"/>
      <c r="S200" s="19"/>
    </row>
    <row r="201" spans="1:19" x14ac:dyDescent="0.25">
      <c r="A201" s="1"/>
      <c r="B201" s="21" t="s">
        <v>473</v>
      </c>
      <c r="C201" s="28">
        <v>20144020</v>
      </c>
      <c r="D201" s="21" t="s">
        <v>26</v>
      </c>
      <c r="E201" s="22">
        <v>45298</v>
      </c>
      <c r="F201" s="29">
        <v>0.1</v>
      </c>
      <c r="G201" s="23" t="s">
        <v>139</v>
      </c>
      <c r="H201" s="30">
        <f>+$H$200*F201</f>
        <v>1285200</v>
      </c>
      <c r="I201" s="25">
        <f t="shared" ref="I201" si="226">+H201*0.19</f>
        <v>244188</v>
      </c>
      <c r="J201" s="25">
        <f t="shared" si="224"/>
        <v>-1529388</v>
      </c>
      <c r="K201" s="167">
        <v>45300</v>
      </c>
      <c r="L201" s="26">
        <f>+E201+$L$3</f>
        <v>45319</v>
      </c>
      <c r="M201" s="26" t="s">
        <v>543</v>
      </c>
      <c r="N201" s="27"/>
      <c r="O201" s="26"/>
      <c r="P201" s="25"/>
      <c r="Q201" s="27"/>
      <c r="R201" s="27"/>
    </row>
    <row r="202" spans="1:19" x14ac:dyDescent="0.25">
      <c r="A202" s="1"/>
      <c r="B202" s="21" t="s">
        <v>473</v>
      </c>
      <c r="C202" s="28">
        <v>20146377</v>
      </c>
      <c r="D202" s="21" t="s">
        <v>26</v>
      </c>
      <c r="E202" s="22">
        <v>45298</v>
      </c>
      <c r="F202" s="29">
        <v>0.08</v>
      </c>
      <c r="G202" s="31" t="s">
        <v>139</v>
      </c>
      <c r="H202" s="32">
        <f t="shared" ref="H202:H203" si="227">+$H$200*F202</f>
        <v>1028160</v>
      </c>
      <c r="I202" s="25">
        <f>+H202*0.19</f>
        <v>195350.39999999999</v>
      </c>
      <c r="J202" s="25">
        <f>+IF(D202="Compra",-(H202+I202),(H202+I202))</f>
        <v>-1223510.3999999999</v>
      </c>
      <c r="K202" s="167">
        <v>45300</v>
      </c>
      <c r="L202" s="26">
        <f>+E202+$L$3</f>
        <v>45319</v>
      </c>
      <c r="M202" s="26" t="s">
        <v>543</v>
      </c>
      <c r="N202" s="27"/>
      <c r="O202" s="26"/>
      <c r="P202" s="25"/>
      <c r="Q202" s="3"/>
      <c r="R202" s="3"/>
    </row>
    <row r="203" spans="1:19" x14ac:dyDescent="0.25">
      <c r="A203" s="1"/>
      <c r="B203" s="33" t="s">
        <v>473</v>
      </c>
      <c r="C203" s="34">
        <v>20146632</v>
      </c>
      <c r="D203" s="33" t="s">
        <v>26</v>
      </c>
      <c r="E203" s="35">
        <v>45298</v>
      </c>
      <c r="F203" s="36">
        <v>0.04</v>
      </c>
      <c r="G203" s="37" t="s">
        <v>139</v>
      </c>
      <c r="H203" s="38">
        <f t="shared" si="227"/>
        <v>514080</v>
      </c>
      <c r="I203" s="39">
        <f t="shared" ref="I203" si="228">+H203*0.19</f>
        <v>97675.199999999997</v>
      </c>
      <c r="J203" s="39">
        <f t="shared" ref="J203:J209" si="229">+IF(D203="Compra",-(H203+I203),(H203+I203))</f>
        <v>-611755.19999999995</v>
      </c>
      <c r="K203" s="168">
        <v>45300</v>
      </c>
      <c r="L203" s="40">
        <f t="shared" ref="L203" si="230">+E203+$L$3</f>
        <v>45319</v>
      </c>
      <c r="M203" s="40" t="s">
        <v>543</v>
      </c>
      <c r="N203" s="41"/>
      <c r="O203" s="40"/>
      <c r="P203" s="39"/>
      <c r="Q203" s="7"/>
      <c r="R203" s="7"/>
    </row>
    <row r="204" spans="1:19" x14ac:dyDescent="0.25">
      <c r="A204" s="1"/>
      <c r="B204" s="21" t="s">
        <v>473</v>
      </c>
      <c r="C204" s="28">
        <v>1103</v>
      </c>
      <c r="D204" s="21" t="s">
        <v>25</v>
      </c>
      <c r="E204" s="22">
        <v>45295</v>
      </c>
      <c r="F204" s="22"/>
      <c r="G204" s="23" t="s">
        <v>139</v>
      </c>
      <c r="H204" s="24">
        <v>12852000</v>
      </c>
      <c r="I204" s="25">
        <f>+H204*0.19</f>
        <v>2441880</v>
      </c>
      <c r="J204" s="25">
        <f t="shared" si="229"/>
        <v>15293880</v>
      </c>
      <c r="K204" s="167">
        <v>45297</v>
      </c>
      <c r="L204" s="26">
        <f>+E204+$L$3</f>
        <v>45316</v>
      </c>
      <c r="M204" s="26" t="s">
        <v>543</v>
      </c>
      <c r="N204" s="27"/>
      <c r="O204" s="26"/>
      <c r="P204" s="25">
        <f>+WEEKNUM(O204,21)</f>
        <v>52</v>
      </c>
      <c r="Q204" s="27"/>
      <c r="R204" s="27"/>
      <c r="S204" s="19"/>
    </row>
    <row r="205" spans="1:19" x14ac:dyDescent="0.25">
      <c r="A205" s="1"/>
      <c r="B205" s="21" t="s">
        <v>473</v>
      </c>
      <c r="C205" s="28">
        <v>20145393</v>
      </c>
      <c r="D205" s="21" t="s">
        <v>26</v>
      </c>
      <c r="E205" s="22">
        <v>45298</v>
      </c>
      <c r="F205" s="29">
        <v>0.1</v>
      </c>
      <c r="G205" s="23" t="s">
        <v>139</v>
      </c>
      <c r="H205" s="30">
        <f>+$H$204*F205</f>
        <v>1285200</v>
      </c>
      <c r="I205" s="25">
        <f t="shared" ref="I205" si="231">+H205*0.19</f>
        <v>244188</v>
      </c>
      <c r="J205" s="25">
        <f t="shared" si="229"/>
        <v>-1529388</v>
      </c>
      <c r="K205" s="167">
        <v>45300</v>
      </c>
      <c r="L205" s="26">
        <f>+E205+$L$3</f>
        <v>45319</v>
      </c>
      <c r="M205" s="26" t="s">
        <v>543</v>
      </c>
      <c r="N205" s="27"/>
      <c r="O205" s="26"/>
      <c r="P205" s="25"/>
      <c r="Q205" s="27"/>
      <c r="R205" s="27"/>
    </row>
    <row r="206" spans="1:19" x14ac:dyDescent="0.25">
      <c r="A206" s="1"/>
      <c r="B206" s="21" t="s">
        <v>473</v>
      </c>
      <c r="C206" s="28">
        <v>20144795</v>
      </c>
      <c r="D206" s="21" t="s">
        <v>26</v>
      </c>
      <c r="E206" s="22">
        <v>45298</v>
      </c>
      <c r="F206" s="29">
        <v>0.08</v>
      </c>
      <c r="G206" s="31" t="s">
        <v>139</v>
      </c>
      <c r="H206" s="32">
        <f t="shared" ref="H206:H207" si="232">+$H$204*F206</f>
        <v>1028160</v>
      </c>
      <c r="I206" s="25">
        <f>+H206*0.19</f>
        <v>195350.39999999999</v>
      </c>
      <c r="J206" s="25">
        <f>+IF(D206="Compra",-(H206+I206),(H206+I206))</f>
        <v>-1223510.3999999999</v>
      </c>
      <c r="K206" s="167">
        <v>45300</v>
      </c>
      <c r="L206" s="26">
        <f>+E206+$L$3</f>
        <v>45319</v>
      </c>
      <c r="M206" s="26" t="s">
        <v>543</v>
      </c>
      <c r="N206" s="27"/>
      <c r="O206" s="26"/>
      <c r="P206" s="25"/>
      <c r="Q206" s="3"/>
      <c r="R206" s="3"/>
    </row>
    <row r="207" spans="1:19" x14ac:dyDescent="0.25">
      <c r="A207" s="1"/>
      <c r="B207" s="33" t="s">
        <v>473</v>
      </c>
      <c r="C207" s="34">
        <v>20144373</v>
      </c>
      <c r="D207" s="33" t="s">
        <v>26</v>
      </c>
      <c r="E207" s="35">
        <v>45298</v>
      </c>
      <c r="F207" s="36">
        <v>0.04</v>
      </c>
      <c r="G207" s="37" t="s">
        <v>139</v>
      </c>
      <c r="H207" s="38">
        <f t="shared" si="232"/>
        <v>514080</v>
      </c>
      <c r="I207" s="39">
        <f t="shared" ref="I207" si="233">+H207*0.19</f>
        <v>97675.199999999997</v>
      </c>
      <c r="J207" s="39">
        <f t="shared" ref="J207" si="234">+IF(D207="Compra",-(H207+I207),(H207+I207))</f>
        <v>-611755.19999999995</v>
      </c>
      <c r="K207" s="168">
        <v>45300</v>
      </c>
      <c r="L207" s="40">
        <f t="shared" ref="L207" si="235">+E207+$L$3</f>
        <v>45319</v>
      </c>
      <c r="M207" s="40" t="s">
        <v>543</v>
      </c>
      <c r="N207" s="41"/>
      <c r="O207" s="40"/>
      <c r="P207" s="39"/>
      <c r="Q207" s="7"/>
      <c r="R207" s="7"/>
    </row>
    <row r="208" spans="1:19" x14ac:dyDescent="0.25">
      <c r="A208" s="1"/>
      <c r="B208" s="21" t="s">
        <v>396</v>
      </c>
      <c r="C208" s="28">
        <v>1105</v>
      </c>
      <c r="D208" s="21" t="s">
        <v>25</v>
      </c>
      <c r="E208" s="22">
        <v>45295</v>
      </c>
      <c r="F208" s="22"/>
      <c r="G208" s="23" t="s">
        <v>139</v>
      </c>
      <c r="H208" s="24">
        <v>6187500</v>
      </c>
      <c r="I208" s="25">
        <f>+H208*0.19</f>
        <v>1175625</v>
      </c>
      <c r="J208" s="25">
        <f t="shared" si="229"/>
        <v>7363125</v>
      </c>
      <c r="K208" s="167">
        <v>45297</v>
      </c>
      <c r="L208" s="26">
        <f>+E208+$L$3</f>
        <v>45316</v>
      </c>
      <c r="M208" s="26" t="s">
        <v>543</v>
      </c>
      <c r="N208" s="27"/>
      <c r="O208" s="26"/>
      <c r="P208" s="25">
        <f>+WEEKNUM(O208,21)</f>
        <v>52</v>
      </c>
      <c r="Q208" s="27"/>
      <c r="R208" s="27"/>
      <c r="S208" s="19"/>
    </row>
    <row r="209" spans="1:19" x14ac:dyDescent="0.25">
      <c r="A209" s="1"/>
      <c r="B209" s="21" t="s">
        <v>396</v>
      </c>
      <c r="C209" s="28">
        <v>20145393</v>
      </c>
      <c r="D209" s="21" t="s">
        <v>26</v>
      </c>
      <c r="E209" s="22">
        <v>45298</v>
      </c>
      <c r="F209" s="29">
        <v>0.1</v>
      </c>
      <c r="G209" s="23" t="s">
        <v>139</v>
      </c>
      <c r="H209" s="30">
        <f>+$H$208*F209</f>
        <v>618750</v>
      </c>
      <c r="I209" s="25">
        <f t="shared" ref="I209" si="236">+H209*0.19</f>
        <v>117562.5</v>
      </c>
      <c r="J209" s="25">
        <f t="shared" si="229"/>
        <v>-736312.5</v>
      </c>
      <c r="K209" s="167">
        <v>45300</v>
      </c>
      <c r="L209" s="26">
        <f>+E209+$L$3</f>
        <v>45319</v>
      </c>
      <c r="M209" s="26" t="s">
        <v>543</v>
      </c>
      <c r="N209" s="27"/>
      <c r="O209" s="26"/>
      <c r="P209" s="25"/>
      <c r="Q209" s="27"/>
      <c r="R209" s="27"/>
    </row>
    <row r="210" spans="1:19" x14ac:dyDescent="0.25">
      <c r="A210" s="1"/>
      <c r="B210" s="21" t="s">
        <v>396</v>
      </c>
      <c r="C210" s="28">
        <v>20144795</v>
      </c>
      <c r="D210" s="21" t="s">
        <v>26</v>
      </c>
      <c r="E210" s="22">
        <v>45298</v>
      </c>
      <c r="F210" s="29">
        <v>0.08</v>
      </c>
      <c r="G210" s="31" t="s">
        <v>139</v>
      </c>
      <c r="H210" s="32">
        <f t="shared" ref="H210:H211" si="237">+$H$208*F210</f>
        <v>495000</v>
      </c>
      <c r="I210" s="25">
        <f>+H210*0.19</f>
        <v>94050</v>
      </c>
      <c r="J210" s="25">
        <f>+IF(D210="Compra",-(H210+I210),(H210+I210))</f>
        <v>-589050</v>
      </c>
      <c r="K210" s="167">
        <v>45300</v>
      </c>
      <c r="L210" s="26">
        <f>+E210+$L$3</f>
        <v>45319</v>
      </c>
      <c r="M210" s="26" t="s">
        <v>543</v>
      </c>
      <c r="N210" s="27"/>
      <c r="O210" s="26"/>
      <c r="P210" s="25"/>
      <c r="Q210" s="3"/>
      <c r="R210" s="3"/>
    </row>
    <row r="211" spans="1:19" x14ac:dyDescent="0.25">
      <c r="A211" s="1"/>
      <c r="B211" s="33" t="s">
        <v>396</v>
      </c>
      <c r="C211" s="34">
        <v>20144373</v>
      </c>
      <c r="D211" s="33" t="s">
        <v>26</v>
      </c>
      <c r="E211" s="35">
        <v>45298</v>
      </c>
      <c r="F211" s="36">
        <v>0.04</v>
      </c>
      <c r="G211" s="37" t="s">
        <v>139</v>
      </c>
      <c r="H211" s="38">
        <f t="shared" si="237"/>
        <v>247500</v>
      </c>
      <c r="I211" s="39">
        <f t="shared" ref="I211" si="238">+H211*0.19</f>
        <v>47025</v>
      </c>
      <c r="J211" s="39">
        <f t="shared" ref="J211:J213" si="239">+IF(D211="Compra",-(H211+I211),(H211+I211))</f>
        <v>-294525</v>
      </c>
      <c r="K211" s="168">
        <v>45300</v>
      </c>
      <c r="L211" s="40">
        <f t="shared" ref="L211" si="240">+E211+$L$3</f>
        <v>45319</v>
      </c>
      <c r="M211" s="40" t="s">
        <v>543</v>
      </c>
      <c r="N211" s="41"/>
      <c r="O211" s="40"/>
      <c r="P211" s="39"/>
      <c r="Q211" s="7"/>
      <c r="R211" s="7"/>
    </row>
    <row r="212" spans="1:19" x14ac:dyDescent="0.25">
      <c r="A212" s="1"/>
      <c r="B212" s="21" t="s">
        <v>473</v>
      </c>
      <c r="C212" s="28">
        <v>1109</v>
      </c>
      <c r="D212" s="21" t="s">
        <v>25</v>
      </c>
      <c r="E212" s="22">
        <v>45299</v>
      </c>
      <c r="F212" s="22"/>
      <c r="G212" s="23" t="s">
        <v>139</v>
      </c>
      <c r="H212" s="24">
        <v>12852000</v>
      </c>
      <c r="I212" s="25">
        <f>+H212*0.19</f>
        <v>2441880</v>
      </c>
      <c r="J212" s="25">
        <f t="shared" si="239"/>
        <v>15293880</v>
      </c>
      <c r="K212" s="167">
        <v>45301</v>
      </c>
      <c r="L212" s="26">
        <f>+E212+$L$3</f>
        <v>45320</v>
      </c>
      <c r="M212" s="26" t="s">
        <v>543</v>
      </c>
      <c r="N212" s="27"/>
      <c r="O212" s="26"/>
      <c r="P212" s="25">
        <f>+WEEKNUM(O212,21)</f>
        <v>52</v>
      </c>
      <c r="Q212" s="27"/>
      <c r="R212" s="27"/>
      <c r="S212" s="19"/>
    </row>
    <row r="213" spans="1:19" x14ac:dyDescent="0.25">
      <c r="A213" s="1"/>
      <c r="B213" s="21" t="s">
        <v>473</v>
      </c>
      <c r="C213" s="28">
        <v>20148053</v>
      </c>
      <c r="D213" s="21" t="s">
        <v>26</v>
      </c>
      <c r="E213" s="22">
        <v>45305</v>
      </c>
      <c r="F213" s="29">
        <v>0.1</v>
      </c>
      <c r="G213" s="23" t="s">
        <v>139</v>
      </c>
      <c r="H213" s="30">
        <f>+$H$212*F213</f>
        <v>1285200</v>
      </c>
      <c r="I213" s="25">
        <f t="shared" ref="I213" si="241">+H213*0.19</f>
        <v>244188</v>
      </c>
      <c r="J213" s="25">
        <f t="shared" si="239"/>
        <v>-1529388</v>
      </c>
      <c r="K213" s="167">
        <v>45307</v>
      </c>
      <c r="L213" s="26">
        <f>+E213+$L$3</f>
        <v>45326</v>
      </c>
      <c r="M213" s="26" t="s">
        <v>302</v>
      </c>
      <c r="N213" s="27"/>
      <c r="O213" s="26">
        <v>45387</v>
      </c>
      <c r="P213" s="25"/>
      <c r="Q213" s="27"/>
      <c r="R213" s="27"/>
    </row>
    <row r="214" spans="1:19" x14ac:dyDescent="0.25">
      <c r="A214" s="1"/>
      <c r="B214" s="21" t="s">
        <v>473</v>
      </c>
      <c r="C214" s="28">
        <v>20150410</v>
      </c>
      <c r="D214" s="21" t="s">
        <v>26</v>
      </c>
      <c r="E214" s="22">
        <v>45305</v>
      </c>
      <c r="F214" s="29">
        <v>0.08</v>
      </c>
      <c r="G214" s="31" t="s">
        <v>139</v>
      </c>
      <c r="H214" s="32">
        <f t="shared" ref="H214:H215" si="242">+$H$212*F214</f>
        <v>1028160</v>
      </c>
      <c r="I214" s="25">
        <f>+H214*0.19</f>
        <v>195350.39999999999</v>
      </c>
      <c r="J214" s="25">
        <f>+IF(D214="Compra",-(H214+I214),(H214+I214))</f>
        <v>-1223510.3999999999</v>
      </c>
      <c r="K214" s="167">
        <v>45307</v>
      </c>
      <c r="L214" s="26">
        <f>+E214+$L$3</f>
        <v>45326</v>
      </c>
      <c r="M214" s="26" t="s">
        <v>302</v>
      </c>
      <c r="N214" s="27"/>
      <c r="O214" s="26">
        <v>45387</v>
      </c>
      <c r="P214" s="25"/>
      <c r="Q214" s="3"/>
      <c r="R214" s="3"/>
    </row>
    <row r="215" spans="1:19" x14ac:dyDescent="0.25">
      <c r="A215" s="1"/>
      <c r="B215" s="33" t="s">
        <v>473</v>
      </c>
      <c r="C215" s="34">
        <v>20149648</v>
      </c>
      <c r="D215" s="33" t="s">
        <v>26</v>
      </c>
      <c r="E215" s="35">
        <v>45305</v>
      </c>
      <c r="F215" s="36">
        <v>0.04</v>
      </c>
      <c r="G215" s="37" t="s">
        <v>139</v>
      </c>
      <c r="H215" s="38">
        <f t="shared" si="242"/>
        <v>514080</v>
      </c>
      <c r="I215" s="39">
        <f t="shared" ref="I215" si="243">+H215*0.19</f>
        <v>97675.199999999997</v>
      </c>
      <c r="J215" s="39">
        <f t="shared" ref="J215:J217" si="244">+IF(D215="Compra",-(H215+I215),(H215+I215))</f>
        <v>-611755.19999999995</v>
      </c>
      <c r="K215" s="168">
        <v>45307</v>
      </c>
      <c r="L215" s="40">
        <f t="shared" ref="L215" si="245">+E215+$L$3</f>
        <v>45326</v>
      </c>
      <c r="M215" s="40" t="s">
        <v>302</v>
      </c>
      <c r="N215" s="41"/>
      <c r="O215" s="26">
        <v>45387</v>
      </c>
      <c r="P215" s="39"/>
      <c r="Q215" s="7"/>
      <c r="R215" s="7"/>
    </row>
    <row r="216" spans="1:19" x14ac:dyDescent="0.25">
      <c r="A216" s="1"/>
      <c r="B216" s="21" t="s">
        <v>396</v>
      </c>
      <c r="C216" s="28">
        <v>1110</v>
      </c>
      <c r="D216" s="21" t="s">
        <v>25</v>
      </c>
      <c r="E216" s="22">
        <v>45299</v>
      </c>
      <c r="F216" s="22"/>
      <c r="G216" s="23" t="s">
        <v>139</v>
      </c>
      <c r="H216" s="24">
        <v>6187500</v>
      </c>
      <c r="I216" s="25">
        <f>+H216*0.19</f>
        <v>1175625</v>
      </c>
      <c r="J216" s="25">
        <f t="shared" si="244"/>
        <v>7363125</v>
      </c>
      <c r="K216" s="167">
        <v>45301</v>
      </c>
      <c r="L216" s="26">
        <f>+E216+$L$3</f>
        <v>45320</v>
      </c>
      <c r="M216" s="26" t="s">
        <v>543</v>
      </c>
      <c r="N216" s="27"/>
      <c r="O216" s="26"/>
      <c r="P216" s="25">
        <f>+WEEKNUM(O216,21)</f>
        <v>52</v>
      </c>
      <c r="Q216" s="27"/>
      <c r="R216" s="27"/>
      <c r="S216" s="19"/>
    </row>
    <row r="217" spans="1:19" x14ac:dyDescent="0.25">
      <c r="A217" s="1"/>
      <c r="B217" s="21" t="s">
        <v>396</v>
      </c>
      <c r="C217" s="28">
        <v>20148053</v>
      </c>
      <c r="D217" s="21" t="s">
        <v>26</v>
      </c>
      <c r="E217" s="22">
        <v>45305</v>
      </c>
      <c r="F217" s="29">
        <v>0.1</v>
      </c>
      <c r="G217" s="23" t="s">
        <v>139</v>
      </c>
      <c r="H217" s="30">
        <f>+$H$216*F217</f>
        <v>618750</v>
      </c>
      <c r="I217" s="25">
        <f t="shared" ref="I217" si="246">+H217*0.19</f>
        <v>117562.5</v>
      </c>
      <c r="J217" s="25">
        <f t="shared" si="244"/>
        <v>-736312.5</v>
      </c>
      <c r="K217" s="167">
        <v>45307</v>
      </c>
      <c r="L217" s="26">
        <f>+E217+$L$3</f>
        <v>45326</v>
      </c>
      <c r="M217" s="26" t="s">
        <v>302</v>
      </c>
      <c r="N217" s="27"/>
      <c r="O217" s="26">
        <v>45387</v>
      </c>
      <c r="P217" s="25"/>
      <c r="Q217" s="27"/>
      <c r="R217" s="27"/>
    </row>
    <row r="218" spans="1:19" x14ac:dyDescent="0.25">
      <c r="A218" s="1"/>
      <c r="B218" s="21" t="s">
        <v>396</v>
      </c>
      <c r="C218" s="28">
        <v>20150410</v>
      </c>
      <c r="D218" s="21" t="s">
        <v>26</v>
      </c>
      <c r="E218" s="22">
        <v>45305</v>
      </c>
      <c r="F218" s="29">
        <v>0.08</v>
      </c>
      <c r="G218" s="31" t="s">
        <v>139</v>
      </c>
      <c r="H218" s="32">
        <f t="shared" ref="H218:H219" si="247">+$H$216*F218</f>
        <v>495000</v>
      </c>
      <c r="I218" s="25">
        <f>+H218*0.19</f>
        <v>94050</v>
      </c>
      <c r="J218" s="25">
        <f>+IF(D218="Compra",-(H218+I218),(H218+I218))</f>
        <v>-589050</v>
      </c>
      <c r="K218" s="167">
        <v>45307</v>
      </c>
      <c r="L218" s="26">
        <f>+E218+$L$3</f>
        <v>45326</v>
      </c>
      <c r="M218" s="26" t="s">
        <v>302</v>
      </c>
      <c r="N218" s="27"/>
      <c r="O218" s="26">
        <v>45387</v>
      </c>
      <c r="P218" s="25"/>
      <c r="Q218" s="3"/>
      <c r="R218" s="3"/>
    </row>
    <row r="219" spans="1:19" x14ac:dyDescent="0.25">
      <c r="A219" s="1"/>
      <c r="B219" s="33" t="s">
        <v>396</v>
      </c>
      <c r="C219" s="34">
        <v>20149648</v>
      </c>
      <c r="D219" s="33" t="s">
        <v>26</v>
      </c>
      <c r="E219" s="35">
        <v>45305</v>
      </c>
      <c r="F219" s="36">
        <v>0.04</v>
      </c>
      <c r="G219" s="37" t="s">
        <v>139</v>
      </c>
      <c r="H219" s="38">
        <f t="shared" si="247"/>
        <v>247500</v>
      </c>
      <c r="I219" s="39">
        <f t="shared" ref="I219" si="248">+H219*0.19</f>
        <v>47025</v>
      </c>
      <c r="J219" s="39">
        <f t="shared" ref="J219:J221" si="249">+IF(D219="Compra",-(H219+I219),(H219+I219))</f>
        <v>-294525</v>
      </c>
      <c r="K219" s="168">
        <v>45307</v>
      </c>
      <c r="L219" s="40">
        <f t="shared" ref="L219" si="250">+E219+$L$3</f>
        <v>45326</v>
      </c>
      <c r="M219" s="40" t="s">
        <v>302</v>
      </c>
      <c r="N219" s="41"/>
      <c r="O219" s="26">
        <v>45387</v>
      </c>
      <c r="P219" s="39"/>
      <c r="Q219" s="7"/>
      <c r="R219" s="7"/>
    </row>
    <row r="220" spans="1:19" x14ac:dyDescent="0.25">
      <c r="A220" s="1"/>
      <c r="B220" s="21" t="s">
        <v>473</v>
      </c>
      <c r="C220" s="28">
        <v>1114</v>
      </c>
      <c r="D220" s="21" t="s">
        <v>25</v>
      </c>
      <c r="E220" s="22">
        <v>45302</v>
      </c>
      <c r="F220" s="22"/>
      <c r="G220" s="23" t="s">
        <v>139</v>
      </c>
      <c r="H220" s="24">
        <v>12852000</v>
      </c>
      <c r="I220" s="25">
        <f>+H220*0.19</f>
        <v>2441880</v>
      </c>
      <c r="J220" s="25">
        <f t="shared" si="249"/>
        <v>15293880</v>
      </c>
      <c r="K220" s="167">
        <v>45306</v>
      </c>
      <c r="L220" s="26">
        <f>+E220+$L$3</f>
        <v>45323</v>
      </c>
      <c r="M220" s="26" t="s">
        <v>302</v>
      </c>
      <c r="N220" s="27"/>
      <c r="O220" s="26">
        <v>45324</v>
      </c>
      <c r="P220" s="25">
        <f>+WEEKNUM(O220,21)</f>
        <v>5</v>
      </c>
      <c r="Q220" s="27"/>
      <c r="R220" s="27" t="s">
        <v>303</v>
      </c>
      <c r="S220" s="19"/>
    </row>
    <row r="221" spans="1:19" x14ac:dyDescent="0.25">
      <c r="A221" s="1"/>
      <c r="B221" s="21" t="s">
        <v>473</v>
      </c>
      <c r="C221" s="28">
        <v>20148053</v>
      </c>
      <c r="D221" s="21" t="s">
        <v>26</v>
      </c>
      <c r="E221" s="22">
        <v>45305</v>
      </c>
      <c r="F221" s="29">
        <v>0.1</v>
      </c>
      <c r="G221" s="23" t="s">
        <v>139</v>
      </c>
      <c r="H221" s="30">
        <f>+$H$220*F221</f>
        <v>1285200</v>
      </c>
      <c r="I221" s="25">
        <f t="shared" ref="I221" si="251">+H221*0.19</f>
        <v>244188</v>
      </c>
      <c r="J221" s="25">
        <f t="shared" si="249"/>
        <v>-1529388</v>
      </c>
      <c r="K221" s="167">
        <v>45307</v>
      </c>
      <c r="L221" s="26">
        <f>+E221+$L$3</f>
        <v>45326</v>
      </c>
      <c r="M221" s="26" t="s">
        <v>302</v>
      </c>
      <c r="N221" s="27"/>
      <c r="O221" s="26">
        <v>45387</v>
      </c>
      <c r="P221" s="25"/>
      <c r="Q221" s="27"/>
      <c r="R221" s="27"/>
    </row>
    <row r="222" spans="1:19" x14ac:dyDescent="0.25">
      <c r="A222" s="1"/>
      <c r="B222" s="21" t="s">
        <v>473</v>
      </c>
      <c r="C222" s="28">
        <v>20150410</v>
      </c>
      <c r="D222" s="21" t="s">
        <v>26</v>
      </c>
      <c r="E222" s="22">
        <v>45305</v>
      </c>
      <c r="F222" s="29">
        <v>0.08</v>
      </c>
      <c r="G222" s="31" t="s">
        <v>139</v>
      </c>
      <c r="H222" s="32">
        <f t="shared" ref="H222:H223" si="252">+$H$220*F222</f>
        <v>1028160</v>
      </c>
      <c r="I222" s="25">
        <f>+H222*0.19</f>
        <v>195350.39999999999</v>
      </c>
      <c r="J222" s="25">
        <f>+IF(D222="Compra",-(H222+I222),(H222+I222))</f>
        <v>-1223510.3999999999</v>
      </c>
      <c r="K222" s="167">
        <v>45307</v>
      </c>
      <c r="L222" s="26">
        <f>+E222+$L$3</f>
        <v>45326</v>
      </c>
      <c r="M222" s="26" t="s">
        <v>302</v>
      </c>
      <c r="N222" s="27"/>
      <c r="O222" s="26">
        <v>45387</v>
      </c>
      <c r="P222" s="25"/>
      <c r="Q222" s="3"/>
      <c r="R222" s="3"/>
    </row>
    <row r="223" spans="1:19" x14ac:dyDescent="0.25">
      <c r="A223" s="1"/>
      <c r="B223" s="33" t="s">
        <v>473</v>
      </c>
      <c r="C223" s="34">
        <v>20149648</v>
      </c>
      <c r="D223" s="33" t="s">
        <v>26</v>
      </c>
      <c r="E223" s="35">
        <v>45305</v>
      </c>
      <c r="F223" s="36">
        <v>0.04</v>
      </c>
      <c r="G223" s="37" t="s">
        <v>139</v>
      </c>
      <c r="H223" s="38">
        <f t="shared" si="252"/>
        <v>514080</v>
      </c>
      <c r="I223" s="39">
        <f t="shared" ref="I223:I225" si="253">+H223*0.19</f>
        <v>97675.199999999997</v>
      </c>
      <c r="J223" s="39">
        <f t="shared" ref="J223:J227" si="254">+IF(D223="Compra",-(H223+I223),(H223+I223))</f>
        <v>-611755.19999999995</v>
      </c>
      <c r="K223" s="168">
        <v>45307</v>
      </c>
      <c r="L223" s="40">
        <f t="shared" ref="L223" si="255">+E223+$L$3</f>
        <v>45326</v>
      </c>
      <c r="M223" s="40" t="s">
        <v>302</v>
      </c>
      <c r="N223" s="41"/>
      <c r="O223" s="26">
        <v>45387</v>
      </c>
      <c r="P223" s="39"/>
      <c r="Q223" s="7"/>
      <c r="R223" s="7"/>
    </row>
    <row r="224" spans="1:19" x14ac:dyDescent="0.25">
      <c r="A224" s="1"/>
      <c r="B224" s="146" t="s">
        <v>396</v>
      </c>
      <c r="C224" s="147">
        <v>20165021</v>
      </c>
      <c r="D224" s="146" t="s">
        <v>26</v>
      </c>
      <c r="E224" s="148">
        <v>45325</v>
      </c>
      <c r="F224" s="186">
        <v>1E-3</v>
      </c>
      <c r="G224" s="149" t="s">
        <v>139</v>
      </c>
      <c r="H224" s="150">
        <v>19040</v>
      </c>
      <c r="I224" s="151">
        <f t="shared" si="253"/>
        <v>3617.6</v>
      </c>
      <c r="J224" s="151">
        <f t="shared" si="254"/>
        <v>-22657.599999999999</v>
      </c>
      <c r="K224" s="166">
        <v>45334</v>
      </c>
      <c r="L224" s="152">
        <v>45355</v>
      </c>
      <c r="M224" s="40" t="s">
        <v>302</v>
      </c>
      <c r="N224" s="153"/>
      <c r="O224" s="26">
        <v>45387</v>
      </c>
      <c r="P224" s="151"/>
      <c r="Q224" s="187"/>
      <c r="R224" s="187"/>
    </row>
    <row r="225" spans="1:19" x14ac:dyDescent="0.25">
      <c r="A225" s="1"/>
      <c r="B225" s="146" t="s">
        <v>396</v>
      </c>
      <c r="C225" s="147">
        <v>20166508</v>
      </c>
      <c r="D225" s="146" t="s">
        <v>26</v>
      </c>
      <c r="E225" s="148">
        <v>45325</v>
      </c>
      <c r="F225" s="186">
        <v>1E-3</v>
      </c>
      <c r="G225" s="149" t="s">
        <v>139</v>
      </c>
      <c r="H225" s="150">
        <v>50931</v>
      </c>
      <c r="I225" s="151">
        <f t="shared" si="253"/>
        <v>9676.89</v>
      </c>
      <c r="J225" s="151">
        <f t="shared" si="254"/>
        <v>-60607.89</v>
      </c>
      <c r="K225" s="166">
        <v>45334</v>
      </c>
      <c r="L225" s="152">
        <v>45355</v>
      </c>
      <c r="M225" s="40" t="s">
        <v>302</v>
      </c>
      <c r="N225" s="153"/>
      <c r="O225" s="26">
        <v>45387</v>
      </c>
      <c r="P225" s="151"/>
      <c r="Q225" s="187"/>
      <c r="R225" s="187"/>
    </row>
    <row r="226" spans="1:19" x14ac:dyDescent="0.25">
      <c r="A226" s="1"/>
      <c r="B226" s="21" t="s">
        <v>24</v>
      </c>
      <c r="C226" s="28">
        <v>1129</v>
      </c>
      <c r="D226" s="21" t="s">
        <v>25</v>
      </c>
      <c r="E226" s="22">
        <v>45358</v>
      </c>
      <c r="F226" s="22"/>
      <c r="G226" s="23" t="s">
        <v>139</v>
      </c>
      <c r="H226" s="24">
        <v>2568850</v>
      </c>
      <c r="I226" s="25">
        <f>+H226*0.19</f>
        <v>488081.5</v>
      </c>
      <c r="J226" s="25">
        <f t="shared" si="254"/>
        <v>3056931.5</v>
      </c>
      <c r="K226" s="167">
        <v>45362</v>
      </c>
      <c r="L226" s="26">
        <f>+E226+$L$3</f>
        <v>45379</v>
      </c>
      <c r="M226" s="26" t="s">
        <v>302</v>
      </c>
      <c r="N226" s="27"/>
      <c r="O226" s="26">
        <v>45387</v>
      </c>
      <c r="P226" s="25">
        <f>+WEEKNUM(O226,21)</f>
        <v>14</v>
      </c>
      <c r="Q226" s="27"/>
      <c r="R226" s="27"/>
      <c r="S226" s="19"/>
    </row>
    <row r="227" spans="1:19" x14ac:dyDescent="0.25">
      <c r="A227" s="1"/>
      <c r="B227" s="21" t="s">
        <v>24</v>
      </c>
      <c r="C227" s="28">
        <v>20667586</v>
      </c>
      <c r="D227" s="21" t="s">
        <v>26</v>
      </c>
      <c r="E227" s="22">
        <v>45361</v>
      </c>
      <c r="F227" s="29">
        <v>0.1</v>
      </c>
      <c r="G227" s="23" t="s">
        <v>139</v>
      </c>
      <c r="H227" s="30">
        <f>+$H$226*F227</f>
        <v>256885</v>
      </c>
      <c r="I227" s="25">
        <f t="shared" ref="I227" si="256">+H227*0.19</f>
        <v>48808.15</v>
      </c>
      <c r="J227" s="25">
        <f t="shared" si="254"/>
        <v>-305693.15000000002</v>
      </c>
      <c r="K227" s="167">
        <v>45363</v>
      </c>
      <c r="L227" s="26">
        <f>+E227+$L$3</f>
        <v>45382</v>
      </c>
      <c r="M227" s="26" t="s">
        <v>302</v>
      </c>
      <c r="N227" s="27"/>
      <c r="O227" s="162">
        <v>45394</v>
      </c>
      <c r="P227" s="25">
        <f t="shared" ref="P227:P229" si="257">+WEEKNUM(O227,21)</f>
        <v>15</v>
      </c>
      <c r="Q227" s="27"/>
      <c r="R227" s="27"/>
    </row>
    <row r="228" spans="1:19" x14ac:dyDescent="0.25">
      <c r="A228" s="1"/>
      <c r="B228" s="21" t="s">
        <v>24</v>
      </c>
      <c r="C228" s="28">
        <v>20668801</v>
      </c>
      <c r="D228" s="21" t="s">
        <v>26</v>
      </c>
      <c r="E228" s="22">
        <v>45361</v>
      </c>
      <c r="F228" s="29">
        <v>0.08</v>
      </c>
      <c r="G228" s="31" t="s">
        <v>139</v>
      </c>
      <c r="H228" s="32">
        <f t="shared" ref="H228:H229" si="258">+$H$226*F228</f>
        <v>205508</v>
      </c>
      <c r="I228" s="25">
        <f>+H228*0.19</f>
        <v>39046.520000000004</v>
      </c>
      <c r="J228" s="25">
        <f>+IF(D228="Compra",-(H228+I228),(H228+I228))</f>
        <v>-244554.52000000002</v>
      </c>
      <c r="K228" s="167">
        <v>45363</v>
      </c>
      <c r="L228" s="26">
        <f>+E228+$L$3</f>
        <v>45382</v>
      </c>
      <c r="M228" s="26" t="s">
        <v>302</v>
      </c>
      <c r="N228" s="27"/>
      <c r="O228" s="162">
        <v>45394</v>
      </c>
      <c r="P228" s="25">
        <f t="shared" si="257"/>
        <v>15</v>
      </c>
      <c r="Q228" s="3"/>
      <c r="R228" s="3"/>
    </row>
    <row r="229" spans="1:19" x14ac:dyDescent="0.25">
      <c r="A229" s="1"/>
      <c r="B229" s="33" t="s">
        <v>24</v>
      </c>
      <c r="C229" s="34">
        <v>20668390</v>
      </c>
      <c r="D229" s="33" t="s">
        <v>26</v>
      </c>
      <c r="E229" s="35">
        <v>45361</v>
      </c>
      <c r="F229" s="36">
        <v>0.04</v>
      </c>
      <c r="G229" s="37" t="s">
        <v>139</v>
      </c>
      <c r="H229" s="38">
        <f t="shared" si="258"/>
        <v>102754</v>
      </c>
      <c r="I229" s="39">
        <f t="shared" ref="I229" si="259">+H229*0.19</f>
        <v>19523.260000000002</v>
      </c>
      <c r="J229" s="39">
        <f t="shared" ref="J229:J231" si="260">+IF(D229="Compra",-(H229+I229),(H229+I229))</f>
        <v>-122277.26000000001</v>
      </c>
      <c r="K229" s="168">
        <v>45363</v>
      </c>
      <c r="L229" s="40">
        <f t="shared" ref="L229" si="261">+E229+$L$3</f>
        <v>45382</v>
      </c>
      <c r="M229" s="40" t="s">
        <v>302</v>
      </c>
      <c r="N229" s="41"/>
      <c r="O229" s="237">
        <v>45394</v>
      </c>
      <c r="P229" s="25">
        <f t="shared" si="257"/>
        <v>15</v>
      </c>
      <c r="Q229" s="7"/>
      <c r="R229" s="7"/>
    </row>
    <row r="230" spans="1:19" x14ac:dyDescent="0.25">
      <c r="A230" s="1"/>
      <c r="B230" s="21" t="s">
        <v>24</v>
      </c>
      <c r="C230" s="28">
        <v>1133</v>
      </c>
      <c r="D230" s="21" t="s">
        <v>25</v>
      </c>
      <c r="E230" s="22">
        <v>45362</v>
      </c>
      <c r="F230" s="22"/>
      <c r="G230" s="23" t="s">
        <v>139</v>
      </c>
      <c r="H230" s="24">
        <v>10490040</v>
      </c>
      <c r="I230" s="25">
        <f>+H230*0.19</f>
        <v>1993107.6</v>
      </c>
      <c r="J230" s="25">
        <f t="shared" si="260"/>
        <v>12483147.6</v>
      </c>
      <c r="K230" s="167">
        <v>45369</v>
      </c>
      <c r="L230" s="26">
        <f>+E230+$L$3</f>
        <v>45383</v>
      </c>
      <c r="M230" s="26" t="s">
        <v>302</v>
      </c>
      <c r="N230" s="27"/>
      <c r="O230" s="26">
        <v>45387</v>
      </c>
      <c r="P230" s="25">
        <f>+WEEKNUM(O230,21)</f>
        <v>14</v>
      </c>
      <c r="Q230" s="27"/>
      <c r="R230" s="27"/>
      <c r="S230" s="19"/>
    </row>
    <row r="231" spans="1:19" x14ac:dyDescent="0.25">
      <c r="A231" s="1"/>
      <c r="B231" s="21" t="s">
        <v>24</v>
      </c>
      <c r="C231" s="28">
        <v>20671479</v>
      </c>
      <c r="D231" s="21" t="s">
        <v>26</v>
      </c>
      <c r="E231" s="22">
        <v>45368</v>
      </c>
      <c r="F231" s="29">
        <v>0.1</v>
      </c>
      <c r="G231" s="23" t="s">
        <v>139</v>
      </c>
      <c r="H231" s="30">
        <f>+$H$230*F231</f>
        <v>1049004</v>
      </c>
      <c r="I231" s="25">
        <f t="shared" ref="I231" si="262">+H231*0.19</f>
        <v>199310.76</v>
      </c>
      <c r="J231" s="25">
        <f t="shared" si="260"/>
        <v>-1248314.76</v>
      </c>
      <c r="K231" s="167">
        <v>45370</v>
      </c>
      <c r="L231" s="26">
        <f>+E231+$L$3</f>
        <v>45389</v>
      </c>
      <c r="M231" s="162" t="s">
        <v>302</v>
      </c>
      <c r="N231" s="27"/>
      <c r="O231" s="26">
        <v>45401</v>
      </c>
      <c r="P231" s="25">
        <f t="shared" ref="P231:P233" si="263">+WEEKNUM(O231,21)</f>
        <v>16</v>
      </c>
      <c r="Q231" s="238">
        <f>+J231</f>
        <v>-1248314.76</v>
      </c>
      <c r="R231" s="41" t="s">
        <v>303</v>
      </c>
    </row>
    <row r="232" spans="1:19" x14ac:dyDescent="0.25">
      <c r="A232" s="1"/>
      <c r="B232" s="21" t="s">
        <v>24</v>
      </c>
      <c r="C232" s="28">
        <v>20672987</v>
      </c>
      <c r="D232" s="21" t="s">
        <v>26</v>
      </c>
      <c r="E232" s="22">
        <v>45368</v>
      </c>
      <c r="F232" s="29">
        <v>0.08</v>
      </c>
      <c r="G232" s="216" t="s">
        <v>139</v>
      </c>
      <c r="H232" s="32">
        <f t="shared" ref="H232:H233" si="264">+$H$230*F232</f>
        <v>839203.20000000007</v>
      </c>
      <c r="I232" s="25">
        <f>+H232*0.19</f>
        <v>159448.60800000001</v>
      </c>
      <c r="J232" s="25">
        <f>+IF(D232="Compra",-(H232+I232),(H232+I232))</f>
        <v>-998651.80800000008</v>
      </c>
      <c r="K232" s="169">
        <v>45370</v>
      </c>
      <c r="L232" s="26">
        <f>+E232+$L$3</f>
        <v>45389</v>
      </c>
      <c r="M232" s="162" t="s">
        <v>302</v>
      </c>
      <c r="N232" s="27"/>
      <c r="O232" s="26">
        <v>45401</v>
      </c>
      <c r="P232" s="25">
        <f t="shared" si="263"/>
        <v>16</v>
      </c>
      <c r="Q232" s="238">
        <f t="shared" ref="Q232:Q233" si="265">+J232</f>
        <v>-998651.80800000008</v>
      </c>
      <c r="R232" s="41" t="s">
        <v>303</v>
      </c>
    </row>
    <row r="233" spans="1:19" x14ac:dyDescent="0.25">
      <c r="A233" s="1"/>
      <c r="B233" s="33" t="s">
        <v>24</v>
      </c>
      <c r="C233" s="34">
        <v>20672114</v>
      </c>
      <c r="D233" s="33" t="s">
        <v>26</v>
      </c>
      <c r="E233" s="35">
        <v>45368</v>
      </c>
      <c r="F233" s="36">
        <v>0.04</v>
      </c>
      <c r="G233" s="42" t="s">
        <v>139</v>
      </c>
      <c r="H233" s="38">
        <f t="shared" si="264"/>
        <v>419601.60000000003</v>
      </c>
      <c r="I233" s="39">
        <f t="shared" ref="I233" si="266">+H233*0.19</f>
        <v>79724.304000000004</v>
      </c>
      <c r="J233" s="39">
        <f t="shared" ref="J233:J237" si="267">+IF(D233="Compra",-(H233+I233),(H233+I233))</f>
        <v>-499325.90400000004</v>
      </c>
      <c r="K233" s="168">
        <v>45370</v>
      </c>
      <c r="L233" s="40">
        <f t="shared" ref="L233" si="268">+E233+$L$3</f>
        <v>45389</v>
      </c>
      <c r="M233" s="237" t="s">
        <v>302</v>
      </c>
      <c r="N233" s="41"/>
      <c r="O233" s="26">
        <v>45401</v>
      </c>
      <c r="P233" s="25">
        <f t="shared" si="263"/>
        <v>16</v>
      </c>
      <c r="Q233" s="238">
        <f t="shared" si="265"/>
        <v>-499325.90400000004</v>
      </c>
      <c r="R233" s="41" t="s">
        <v>303</v>
      </c>
    </row>
    <row r="234" spans="1:19" x14ac:dyDescent="0.25">
      <c r="A234" s="1"/>
      <c r="B234" s="21" t="s">
        <v>24</v>
      </c>
      <c r="C234" s="28">
        <v>1134</v>
      </c>
      <c r="D234" s="21" t="s">
        <v>25</v>
      </c>
      <c r="E234" s="22">
        <v>45365</v>
      </c>
      <c r="F234" s="22"/>
      <c r="G234" s="23" t="s">
        <v>139</v>
      </c>
      <c r="H234" s="24">
        <v>18486305</v>
      </c>
      <c r="I234" s="25">
        <f>+H234*0.19</f>
        <v>3512397.95</v>
      </c>
      <c r="J234" s="25">
        <f t="shared" si="267"/>
        <v>21998702.949999999</v>
      </c>
      <c r="K234" s="167">
        <v>45369</v>
      </c>
      <c r="L234" s="26">
        <f>+E234+$L$3</f>
        <v>45386</v>
      </c>
      <c r="M234" s="26" t="s">
        <v>302</v>
      </c>
      <c r="N234" s="27"/>
      <c r="O234" s="26">
        <v>45387</v>
      </c>
      <c r="P234" s="25">
        <f>+WEEKNUM(O234,21)</f>
        <v>14</v>
      </c>
      <c r="Q234" s="27"/>
      <c r="R234" s="27"/>
      <c r="S234" s="19"/>
    </row>
    <row r="235" spans="1:19" x14ac:dyDescent="0.25">
      <c r="A235" s="1"/>
      <c r="B235" s="21" t="s">
        <v>24</v>
      </c>
      <c r="C235" s="137" t="s">
        <v>650</v>
      </c>
      <c r="D235" s="136" t="s">
        <v>137</v>
      </c>
      <c r="E235" s="141"/>
      <c r="F235" s="3"/>
      <c r="G235" s="138" t="s">
        <v>139</v>
      </c>
      <c r="H235" s="143">
        <f>-45*51500</f>
        <v>-2317500</v>
      </c>
      <c r="I235" s="143">
        <f t="shared" ref="I235" si="269">+H235*0.19</f>
        <v>-440325</v>
      </c>
      <c r="J235" s="143">
        <f>+H235+I235</f>
        <v>-2757825</v>
      </c>
      <c r="K235" s="139"/>
      <c r="L235" s="26">
        <f>+E235</f>
        <v>0</v>
      </c>
      <c r="M235" s="26" t="s">
        <v>302</v>
      </c>
      <c r="N235" s="27" t="s">
        <v>616</v>
      </c>
      <c r="O235" s="26">
        <v>45387</v>
      </c>
      <c r="P235" s="25"/>
      <c r="Q235" s="27"/>
      <c r="R235" s="27"/>
      <c r="S235" s="19" t="s">
        <v>615</v>
      </c>
    </row>
    <row r="236" spans="1:19" x14ac:dyDescent="0.25">
      <c r="A236" s="1"/>
      <c r="B236" s="21" t="s">
        <v>24</v>
      </c>
      <c r="C236" s="137"/>
      <c r="D236" s="136" t="s">
        <v>91</v>
      </c>
      <c r="E236" s="141"/>
      <c r="F236" s="3"/>
      <c r="G236" s="138" t="s">
        <v>359</v>
      </c>
      <c r="H236" s="143">
        <f>+SUM(H234:H235)</f>
        <v>16168805</v>
      </c>
      <c r="I236" s="143">
        <f>+SUM(I234:I235)</f>
        <v>3072072.95</v>
      </c>
      <c r="J236" s="143">
        <f>+SUM(J234:J235)</f>
        <v>19240877.949999999</v>
      </c>
      <c r="K236" s="139"/>
      <c r="L236" s="26"/>
      <c r="M236" s="26" t="s">
        <v>138</v>
      </c>
      <c r="N236" s="27"/>
      <c r="O236" s="26"/>
      <c r="P236" s="25"/>
      <c r="Q236" s="27"/>
      <c r="R236" s="27"/>
      <c r="S236" s="19"/>
    </row>
    <row r="237" spans="1:19" x14ac:dyDescent="0.25">
      <c r="A237" s="1"/>
      <c r="B237" s="21" t="s">
        <v>24</v>
      </c>
      <c r="C237" s="28">
        <v>20671479</v>
      </c>
      <c r="D237" s="21" t="s">
        <v>26</v>
      </c>
      <c r="E237" s="22">
        <v>45368</v>
      </c>
      <c r="F237" s="29">
        <v>0.1</v>
      </c>
      <c r="G237" s="23" t="s">
        <v>139</v>
      </c>
      <c r="H237" s="30">
        <f>+$H$234*F237</f>
        <v>1848630.5</v>
      </c>
      <c r="I237" s="25">
        <f t="shared" ref="I237" si="270">+H237*0.19</f>
        <v>351239.79499999998</v>
      </c>
      <c r="J237" s="25">
        <f t="shared" si="267"/>
        <v>-2199870.2949999999</v>
      </c>
      <c r="K237" s="167">
        <v>45370</v>
      </c>
      <c r="L237" s="26">
        <f>+E237+$L$3</f>
        <v>45389</v>
      </c>
      <c r="M237" s="162" t="s">
        <v>302</v>
      </c>
      <c r="N237" s="27"/>
      <c r="O237" s="26">
        <v>45401</v>
      </c>
      <c r="P237" s="25">
        <f t="shared" ref="P237:P239" si="271">+WEEKNUM(O237,21)</f>
        <v>16</v>
      </c>
      <c r="Q237" s="238">
        <f t="shared" ref="Q237:Q239" si="272">+J237</f>
        <v>-2199870.2949999999</v>
      </c>
      <c r="R237" s="41" t="s">
        <v>303</v>
      </c>
    </row>
    <row r="238" spans="1:19" x14ac:dyDescent="0.25">
      <c r="A238" s="1"/>
      <c r="B238" s="21" t="s">
        <v>24</v>
      </c>
      <c r="C238" s="28">
        <v>20672987</v>
      </c>
      <c r="D238" s="21" t="s">
        <v>26</v>
      </c>
      <c r="E238" s="22">
        <v>45368</v>
      </c>
      <c r="F238" s="29">
        <v>0.08</v>
      </c>
      <c r="G238" s="216" t="s">
        <v>139</v>
      </c>
      <c r="H238" s="32">
        <f t="shared" ref="H238:H239" si="273">+$H$234*F238</f>
        <v>1478904.4000000001</v>
      </c>
      <c r="I238" s="25">
        <f>+H238*0.19</f>
        <v>280991.83600000001</v>
      </c>
      <c r="J238" s="25">
        <f>+IF(D238="Compra",-(H238+I238),(H238+I238))</f>
        <v>-1759896.236</v>
      </c>
      <c r="K238" s="169">
        <v>45370</v>
      </c>
      <c r="L238" s="26">
        <f>+E238+$L$3</f>
        <v>45389</v>
      </c>
      <c r="M238" s="162" t="s">
        <v>302</v>
      </c>
      <c r="N238" s="27"/>
      <c r="O238" s="26">
        <v>45401</v>
      </c>
      <c r="P238" s="25">
        <f t="shared" si="271"/>
        <v>16</v>
      </c>
      <c r="Q238" s="238">
        <f t="shared" si="272"/>
        <v>-1759896.236</v>
      </c>
      <c r="R238" s="41" t="s">
        <v>303</v>
      </c>
    </row>
    <row r="239" spans="1:19" x14ac:dyDescent="0.25">
      <c r="A239" s="1"/>
      <c r="B239" s="33" t="s">
        <v>24</v>
      </c>
      <c r="C239" s="34">
        <v>20672114</v>
      </c>
      <c r="D239" s="33" t="s">
        <v>26</v>
      </c>
      <c r="E239" s="35">
        <v>45368</v>
      </c>
      <c r="F239" s="36">
        <v>0.04</v>
      </c>
      <c r="G239" s="42" t="s">
        <v>139</v>
      </c>
      <c r="H239" s="38">
        <f t="shared" si="273"/>
        <v>739452.20000000007</v>
      </c>
      <c r="I239" s="39">
        <f t="shared" ref="I239" si="274">+H239*0.19</f>
        <v>140495.91800000001</v>
      </c>
      <c r="J239" s="39">
        <f t="shared" ref="J239:J241" si="275">+IF(D239="Compra",-(H239+I239),(H239+I239))</f>
        <v>-879948.11800000002</v>
      </c>
      <c r="K239" s="168">
        <v>45370</v>
      </c>
      <c r="L239" s="40">
        <f t="shared" ref="L239" si="276">+E239+$L$3</f>
        <v>45389</v>
      </c>
      <c r="M239" s="237" t="s">
        <v>302</v>
      </c>
      <c r="N239" s="41"/>
      <c r="O239" s="26">
        <v>45401</v>
      </c>
      <c r="P239" s="25">
        <f t="shared" si="271"/>
        <v>16</v>
      </c>
      <c r="Q239" s="238">
        <f t="shared" si="272"/>
        <v>-879948.11800000002</v>
      </c>
      <c r="R239" s="41" t="s">
        <v>303</v>
      </c>
    </row>
    <row r="240" spans="1:19" x14ac:dyDescent="0.25">
      <c r="A240" s="1"/>
      <c r="B240" s="21" t="s">
        <v>24</v>
      </c>
      <c r="C240" s="28">
        <v>1140</v>
      </c>
      <c r="D240" s="21" t="s">
        <v>25</v>
      </c>
      <c r="E240" s="22">
        <v>45369</v>
      </c>
      <c r="F240" s="22"/>
      <c r="G240" s="23" t="s">
        <v>139</v>
      </c>
      <c r="H240" s="24">
        <v>13160630</v>
      </c>
      <c r="I240" s="25">
        <f>+H240*0.19</f>
        <v>2500519.7000000002</v>
      </c>
      <c r="J240" s="25">
        <f t="shared" si="275"/>
        <v>15661149.699999999</v>
      </c>
      <c r="K240" s="167">
        <v>45372</v>
      </c>
      <c r="L240" s="26">
        <f>+E240+$L$3</f>
        <v>45390</v>
      </c>
      <c r="M240" s="26" t="s">
        <v>302</v>
      </c>
      <c r="N240" s="27"/>
      <c r="O240" s="162">
        <v>45394</v>
      </c>
      <c r="P240" s="25">
        <f>+WEEKNUM(O240,21)</f>
        <v>15</v>
      </c>
      <c r="Q240" s="27"/>
      <c r="R240" s="27"/>
      <c r="S240" s="19"/>
    </row>
    <row r="241" spans="1:19" x14ac:dyDescent="0.25">
      <c r="A241" s="1"/>
      <c r="B241" s="21" t="s">
        <v>24</v>
      </c>
      <c r="C241" s="28">
        <v>20675834</v>
      </c>
      <c r="D241" s="21" t="s">
        <v>26</v>
      </c>
      <c r="E241" s="22">
        <v>45375</v>
      </c>
      <c r="F241" s="29">
        <v>0.1</v>
      </c>
      <c r="G241" s="23" t="s">
        <v>139</v>
      </c>
      <c r="H241" s="30">
        <f>+$H$240*F241</f>
        <v>1316063</v>
      </c>
      <c r="I241" s="25">
        <f t="shared" ref="I241" si="277">+H241*0.19</f>
        <v>250051.97</v>
      </c>
      <c r="J241" s="25">
        <f t="shared" si="275"/>
        <v>-1566114.97</v>
      </c>
      <c r="K241" s="22">
        <v>45377</v>
      </c>
      <c r="L241" s="26">
        <f>+E241+$L$3</f>
        <v>45396</v>
      </c>
      <c r="M241" s="26" t="s">
        <v>302</v>
      </c>
      <c r="N241" s="241">
        <v>45408</v>
      </c>
      <c r="O241" s="162">
        <v>45408</v>
      </c>
      <c r="P241" s="25">
        <f t="shared" ref="P241:P243" si="278">+WEEKNUM(O241,21)</f>
        <v>17</v>
      </c>
      <c r="Q241" s="238">
        <f>+J241</f>
        <v>-1566114.97</v>
      </c>
      <c r="R241" s="27" t="s">
        <v>303</v>
      </c>
    </row>
    <row r="242" spans="1:19" x14ac:dyDescent="0.25">
      <c r="A242" s="1"/>
      <c r="B242" s="21" t="s">
        <v>24</v>
      </c>
      <c r="C242" s="28">
        <v>20677236</v>
      </c>
      <c r="D242" s="21" t="s">
        <v>26</v>
      </c>
      <c r="E242" s="22">
        <v>45375</v>
      </c>
      <c r="F242" s="29">
        <v>0.08</v>
      </c>
      <c r="G242" s="31" t="s">
        <v>139</v>
      </c>
      <c r="H242" s="32">
        <f t="shared" ref="H242:H243" si="279">+$H$240*F242</f>
        <v>1052850.3999999999</v>
      </c>
      <c r="I242" s="25">
        <f>+H242*0.19</f>
        <v>200041.57599999997</v>
      </c>
      <c r="J242" s="25">
        <f>+IF(D242="Compra",-(H242+I242),(H242+I242))</f>
        <v>-1252891.9759999998</v>
      </c>
      <c r="K242" s="22">
        <v>45377</v>
      </c>
      <c r="L242" s="26">
        <f>+E242+$L$3</f>
        <v>45396</v>
      </c>
      <c r="M242" s="26" t="s">
        <v>302</v>
      </c>
      <c r="N242" s="241">
        <v>45408</v>
      </c>
      <c r="O242" s="162">
        <v>45408</v>
      </c>
      <c r="P242" s="25">
        <f t="shared" si="278"/>
        <v>17</v>
      </c>
      <c r="Q242" s="238">
        <f t="shared" ref="Q242:Q243" si="280">+J242</f>
        <v>-1252891.9759999998</v>
      </c>
      <c r="R242" s="27" t="s">
        <v>303</v>
      </c>
    </row>
    <row r="243" spans="1:19" x14ac:dyDescent="0.25">
      <c r="A243" s="1"/>
      <c r="B243" s="33" t="s">
        <v>24</v>
      </c>
      <c r="C243" s="34">
        <v>20676530</v>
      </c>
      <c r="D243" s="33" t="s">
        <v>26</v>
      </c>
      <c r="E243" s="35">
        <v>45375</v>
      </c>
      <c r="F243" s="36">
        <v>0.04</v>
      </c>
      <c r="G243" s="37" t="s">
        <v>139</v>
      </c>
      <c r="H243" s="38">
        <f t="shared" si="279"/>
        <v>526425.19999999995</v>
      </c>
      <c r="I243" s="39">
        <f t="shared" ref="I243" si="281">+H243*0.19</f>
        <v>100020.78799999999</v>
      </c>
      <c r="J243" s="39">
        <f t="shared" ref="J243:J245" si="282">+IF(D243="Compra",-(H243+I243),(H243+I243))</f>
        <v>-626445.9879999999</v>
      </c>
      <c r="K243" s="35">
        <v>45377</v>
      </c>
      <c r="L243" s="40">
        <f t="shared" ref="L243" si="283">+E243+$L$3</f>
        <v>45396</v>
      </c>
      <c r="M243" s="40" t="s">
        <v>302</v>
      </c>
      <c r="N243" s="242">
        <v>45408</v>
      </c>
      <c r="O243" s="237">
        <v>45408</v>
      </c>
      <c r="P243" s="39">
        <f t="shared" si="278"/>
        <v>17</v>
      </c>
      <c r="Q243" s="240">
        <f t="shared" si="280"/>
        <v>-626445.9879999999</v>
      </c>
      <c r="R243" s="41" t="s">
        <v>303</v>
      </c>
    </row>
    <row r="244" spans="1:19" x14ac:dyDescent="0.25">
      <c r="A244" s="1"/>
      <c r="B244" s="21" t="s">
        <v>24</v>
      </c>
      <c r="C244" s="28">
        <v>1150</v>
      </c>
      <c r="D244" s="21" t="s">
        <v>25</v>
      </c>
      <c r="E244" s="22">
        <v>45372</v>
      </c>
      <c r="F244" s="22"/>
      <c r="G244" s="23" t="s">
        <v>139</v>
      </c>
      <c r="H244" s="24">
        <v>8222849</v>
      </c>
      <c r="I244" s="25">
        <f>+H244*0.19</f>
        <v>1562341.31</v>
      </c>
      <c r="J244" s="25">
        <f t="shared" si="282"/>
        <v>9785190.3100000005</v>
      </c>
      <c r="K244" s="167">
        <v>45376</v>
      </c>
      <c r="L244" s="26">
        <f>+E244+$L$3</f>
        <v>45393</v>
      </c>
      <c r="M244" s="26" t="s">
        <v>302</v>
      </c>
      <c r="N244" s="27"/>
      <c r="O244" s="162">
        <v>45394</v>
      </c>
      <c r="P244" s="25">
        <f>+WEEKNUM(O244,21)</f>
        <v>15</v>
      </c>
      <c r="Q244" s="27"/>
      <c r="R244" s="27"/>
      <c r="S244" s="19"/>
    </row>
    <row r="245" spans="1:19" x14ac:dyDescent="0.25">
      <c r="A245" s="1"/>
      <c r="B245" s="21" t="s">
        <v>24</v>
      </c>
      <c r="C245" s="28">
        <v>20675834</v>
      </c>
      <c r="D245" s="21" t="s">
        <v>26</v>
      </c>
      <c r="E245" s="22">
        <v>45375</v>
      </c>
      <c r="F245" s="29">
        <v>0.1</v>
      </c>
      <c r="G245" s="23" t="s">
        <v>139</v>
      </c>
      <c r="H245" s="30">
        <f>+$H$244*F245</f>
        <v>822284.9</v>
      </c>
      <c r="I245" s="25">
        <f t="shared" ref="I245" si="284">+H245*0.19</f>
        <v>156234.13099999999</v>
      </c>
      <c r="J245" s="25">
        <f t="shared" si="282"/>
        <v>-978519.03099999996</v>
      </c>
      <c r="K245" s="22">
        <v>45377</v>
      </c>
      <c r="L245" s="26">
        <f>+E245+$L$3</f>
        <v>45396</v>
      </c>
      <c r="M245" s="26" t="s">
        <v>302</v>
      </c>
      <c r="N245" s="241">
        <v>45408</v>
      </c>
      <c r="O245" s="162">
        <v>45408</v>
      </c>
      <c r="P245" s="25">
        <f t="shared" ref="P245:P247" si="285">+WEEKNUM(O245,21)</f>
        <v>17</v>
      </c>
      <c r="Q245" s="238">
        <f t="shared" ref="Q245:Q247" si="286">+J245</f>
        <v>-978519.03099999996</v>
      </c>
      <c r="R245" s="27" t="s">
        <v>303</v>
      </c>
    </row>
    <row r="246" spans="1:19" x14ac:dyDescent="0.25">
      <c r="A246" s="1"/>
      <c r="B246" s="21" t="s">
        <v>24</v>
      </c>
      <c r="C246" s="28">
        <v>20677236</v>
      </c>
      <c r="D246" s="21" t="s">
        <v>26</v>
      </c>
      <c r="E246" s="22">
        <v>45375</v>
      </c>
      <c r="F246" s="29">
        <v>0.08</v>
      </c>
      <c r="G246" s="31" t="s">
        <v>139</v>
      </c>
      <c r="H246" s="32">
        <f t="shared" ref="H246:H247" si="287">+$H$244*F246</f>
        <v>657827.92000000004</v>
      </c>
      <c r="I246" s="25">
        <f>+H246*0.19</f>
        <v>124987.30480000001</v>
      </c>
      <c r="J246" s="25">
        <f>+IF(D246="Compra",-(H246+I246),(H246+I246))</f>
        <v>-782815.22480000008</v>
      </c>
      <c r="K246" s="22">
        <v>45377</v>
      </c>
      <c r="L246" s="26">
        <f>+E246+$L$3</f>
        <v>45396</v>
      </c>
      <c r="M246" s="26" t="s">
        <v>302</v>
      </c>
      <c r="N246" s="241">
        <v>45408</v>
      </c>
      <c r="O246" s="162">
        <v>45408</v>
      </c>
      <c r="P246" s="25">
        <f t="shared" si="285"/>
        <v>17</v>
      </c>
      <c r="Q246" s="238">
        <f t="shared" si="286"/>
        <v>-782815.22480000008</v>
      </c>
      <c r="R246" s="27" t="s">
        <v>303</v>
      </c>
    </row>
    <row r="247" spans="1:19" x14ac:dyDescent="0.25">
      <c r="A247" s="1"/>
      <c r="B247" s="33" t="s">
        <v>24</v>
      </c>
      <c r="C247" s="34">
        <v>20676530</v>
      </c>
      <c r="D247" s="33" t="s">
        <v>26</v>
      </c>
      <c r="E247" s="35">
        <v>45375</v>
      </c>
      <c r="F247" s="36">
        <v>0.04</v>
      </c>
      <c r="G247" s="37" t="s">
        <v>139</v>
      </c>
      <c r="H247" s="38">
        <f t="shared" si="287"/>
        <v>328913.96000000002</v>
      </c>
      <c r="I247" s="39">
        <f t="shared" ref="I247" si="288">+H247*0.19</f>
        <v>62493.652400000006</v>
      </c>
      <c r="J247" s="39">
        <f t="shared" ref="J247:J251" si="289">+IF(D247="Compra",-(H247+I247),(H247+I247))</f>
        <v>-391407.61240000004</v>
      </c>
      <c r="K247" s="35">
        <v>45377</v>
      </c>
      <c r="L247" s="40">
        <f t="shared" ref="L247" si="290">+E247+$L$3</f>
        <v>45396</v>
      </c>
      <c r="M247" s="40" t="s">
        <v>302</v>
      </c>
      <c r="N247" s="242">
        <v>45408</v>
      </c>
      <c r="O247" s="237">
        <v>45408</v>
      </c>
      <c r="P247" s="39">
        <f t="shared" si="285"/>
        <v>17</v>
      </c>
      <c r="Q247" s="240">
        <f t="shared" si="286"/>
        <v>-391407.61240000004</v>
      </c>
      <c r="R247" s="41" t="s">
        <v>303</v>
      </c>
    </row>
    <row r="248" spans="1:19" ht="17.25" customHeight="1" x14ac:dyDescent="0.25">
      <c r="A248" s="1"/>
      <c r="B248" s="21" t="s">
        <v>24</v>
      </c>
      <c r="C248" s="28">
        <v>1154</v>
      </c>
      <c r="D248" s="21" t="s">
        <v>25</v>
      </c>
      <c r="E248" s="22">
        <v>45376</v>
      </c>
      <c r="F248" s="22"/>
      <c r="G248" s="220" t="s">
        <v>139</v>
      </c>
      <c r="H248" s="24">
        <v>9034020</v>
      </c>
      <c r="I248" s="25">
        <f>+H248*0.19</f>
        <v>1716463.8</v>
      </c>
      <c r="J248" s="25">
        <f t="shared" si="289"/>
        <v>10750483.800000001</v>
      </c>
      <c r="K248" s="167">
        <v>45386</v>
      </c>
      <c r="L248" s="26">
        <f>+E248+$L$3</f>
        <v>45397</v>
      </c>
      <c r="M248" s="162" t="s">
        <v>302</v>
      </c>
      <c r="N248" s="27"/>
      <c r="O248" s="26">
        <v>45401</v>
      </c>
      <c r="P248" s="25">
        <f>+WEEKNUM(O248,21)</f>
        <v>16</v>
      </c>
      <c r="Q248" s="238">
        <f t="shared" ref="Q248:Q249" si="291">+J248</f>
        <v>10750483.800000001</v>
      </c>
      <c r="R248" s="41" t="s">
        <v>303</v>
      </c>
      <c r="S248" s="19"/>
    </row>
    <row r="249" spans="1:19" s="3" customFormat="1" ht="15" customHeight="1" x14ac:dyDescent="0.2">
      <c r="A249" s="1"/>
      <c r="B249" s="21" t="s">
        <v>24</v>
      </c>
      <c r="C249" s="161" t="s">
        <v>636</v>
      </c>
      <c r="D249" s="136" t="s">
        <v>137</v>
      </c>
      <c r="E249" s="141"/>
      <c r="G249" s="220" t="s">
        <v>139</v>
      </c>
      <c r="H249" s="143">
        <f>-45*51500</f>
        <v>-2317500</v>
      </c>
      <c r="I249" s="143">
        <f t="shared" ref="I249" si="292">+H249*0.19</f>
        <v>-440325</v>
      </c>
      <c r="J249" s="143">
        <f>+H249+I249</f>
        <v>-2757825</v>
      </c>
      <c r="K249" s="236">
        <v>45386</v>
      </c>
      <c r="L249" s="26">
        <f>+E249</f>
        <v>0</v>
      </c>
      <c r="M249" s="162" t="s">
        <v>302</v>
      </c>
      <c r="O249" s="26">
        <v>45401</v>
      </c>
      <c r="P249" s="39">
        <f t="shared" ref="P249:P250" si="293">+WEEKNUM(O249,21)</f>
        <v>16</v>
      </c>
      <c r="Q249" s="238">
        <f t="shared" si="291"/>
        <v>-2757825</v>
      </c>
      <c r="R249" s="41" t="s">
        <v>303</v>
      </c>
    </row>
    <row r="250" spans="1:19" s="3" customFormat="1" ht="12" x14ac:dyDescent="0.2">
      <c r="A250" s="1"/>
      <c r="B250" s="21" t="s">
        <v>24</v>
      </c>
      <c r="C250" s="137"/>
      <c r="D250" s="136" t="s">
        <v>91</v>
      </c>
      <c r="E250" s="141"/>
      <c r="G250" s="142"/>
      <c r="H250" s="143">
        <f>+H248+H235</f>
        <v>6716520</v>
      </c>
      <c r="I250" s="143">
        <f>+SUM(I248:I249)</f>
        <v>1276138.8</v>
      </c>
      <c r="J250" s="143">
        <f>+SUM(J248:J249)</f>
        <v>7992658.8000000007</v>
      </c>
      <c r="K250" s="139"/>
      <c r="L250" s="26"/>
      <c r="M250" s="26" t="s">
        <v>138</v>
      </c>
      <c r="O250" s="40"/>
      <c r="P250" s="39">
        <f t="shared" si="293"/>
        <v>52</v>
      </c>
      <c r="Q250" s="7"/>
      <c r="R250" s="41" t="s">
        <v>303</v>
      </c>
    </row>
    <row r="251" spans="1:19" x14ac:dyDescent="0.25">
      <c r="A251" s="239" t="s">
        <v>652</v>
      </c>
      <c r="B251" s="21" t="s">
        <v>24</v>
      </c>
      <c r="C251" s="28">
        <v>20682100</v>
      </c>
      <c r="D251" s="21" t="s">
        <v>26</v>
      </c>
      <c r="E251" s="22">
        <v>45382</v>
      </c>
      <c r="F251" s="29">
        <v>0.1</v>
      </c>
      <c r="G251" s="220" t="s">
        <v>139</v>
      </c>
      <c r="H251" s="30">
        <f>+$H$250*F251*A4</f>
        <v>671652</v>
      </c>
      <c r="I251" s="25">
        <f t="shared" ref="I251" si="294">+H251*0.19</f>
        <v>127613.88</v>
      </c>
      <c r="J251" s="25">
        <f t="shared" si="289"/>
        <v>-799265.88</v>
      </c>
      <c r="K251" s="167">
        <v>45384</v>
      </c>
      <c r="L251" s="26">
        <f>+E251+$L$3</f>
        <v>45403</v>
      </c>
      <c r="M251" s="26"/>
      <c r="N251" s="27"/>
      <c r="O251" s="26"/>
      <c r="P251" s="25"/>
      <c r="Q251" s="27"/>
      <c r="R251" s="27"/>
    </row>
    <row r="252" spans="1:19" x14ac:dyDescent="0.25">
      <c r="A252" s="239" t="s">
        <v>652</v>
      </c>
      <c r="B252" s="21" t="s">
        <v>24</v>
      </c>
      <c r="C252" s="28">
        <v>20683389</v>
      </c>
      <c r="D252" s="21" t="s">
        <v>26</v>
      </c>
      <c r="E252" s="22">
        <v>45382</v>
      </c>
      <c r="F252" s="29">
        <v>0.08</v>
      </c>
      <c r="G252" s="31" t="s">
        <v>139</v>
      </c>
      <c r="H252" s="32">
        <f>+$H$250*F252*A4</f>
        <v>537321.6</v>
      </c>
      <c r="I252" s="25">
        <f>+H252*0.19</f>
        <v>102091.10399999999</v>
      </c>
      <c r="J252" s="25">
        <f>+IF(D252="Compra",-(H252+I252),(H252+I252))</f>
        <v>-639412.70399999991</v>
      </c>
      <c r="K252" s="169">
        <v>45384</v>
      </c>
      <c r="L252" s="26">
        <f>+E252+$L$3</f>
        <v>45403</v>
      </c>
      <c r="M252" s="26"/>
      <c r="N252" s="27"/>
      <c r="O252" s="26"/>
      <c r="P252" s="25"/>
      <c r="Q252" s="3"/>
      <c r="R252" s="3"/>
    </row>
    <row r="253" spans="1:19" x14ac:dyDescent="0.25">
      <c r="A253" s="239" t="s">
        <v>652</v>
      </c>
      <c r="B253" s="33" t="s">
        <v>24</v>
      </c>
      <c r="C253" s="34">
        <v>20682675</v>
      </c>
      <c r="D253" s="33" t="s">
        <v>26</v>
      </c>
      <c r="E253" s="35">
        <v>45382</v>
      </c>
      <c r="F253" s="36">
        <v>0.04</v>
      </c>
      <c r="G253" s="37" t="s">
        <v>139</v>
      </c>
      <c r="H253" s="38">
        <f>+$H$250*F253*A4</f>
        <v>268660.8</v>
      </c>
      <c r="I253" s="39">
        <f t="shared" ref="I253" si="295">+H253*0.19</f>
        <v>51045.551999999996</v>
      </c>
      <c r="J253" s="39">
        <f t="shared" ref="J253:J255" si="296">+IF(D253="Compra",-(H253+I253),(H253+I253))</f>
        <v>-319706.35199999996</v>
      </c>
      <c r="K253" s="168">
        <v>45384</v>
      </c>
      <c r="L253" s="40">
        <f t="shared" ref="L253" si="297">+E253+$L$3</f>
        <v>45403</v>
      </c>
      <c r="M253" s="40"/>
      <c r="N253" s="41"/>
      <c r="O253" s="40"/>
      <c r="P253" s="39"/>
      <c r="Q253" s="7"/>
      <c r="R253" s="7"/>
    </row>
    <row r="254" spans="1:19" x14ac:dyDescent="0.25">
      <c r="A254" s="1"/>
      <c r="B254" s="21" t="s">
        <v>24</v>
      </c>
      <c r="C254" s="28">
        <v>1155</v>
      </c>
      <c r="D254" s="21" t="s">
        <v>25</v>
      </c>
      <c r="E254" s="219">
        <v>45377</v>
      </c>
      <c r="F254" s="219"/>
      <c r="G254" s="220" t="s">
        <v>139</v>
      </c>
      <c r="H254" s="24">
        <v>2317500</v>
      </c>
      <c r="I254" s="25">
        <f>+H254*0.19</f>
        <v>440325</v>
      </c>
      <c r="J254" s="25">
        <f t="shared" si="296"/>
        <v>2757825</v>
      </c>
      <c r="K254" s="167">
        <v>45379</v>
      </c>
      <c r="L254" s="26">
        <f>+E254+$L$3</f>
        <v>45398</v>
      </c>
      <c r="M254" s="162" t="s">
        <v>302</v>
      </c>
      <c r="N254" s="27"/>
      <c r="O254" s="26">
        <v>45401</v>
      </c>
      <c r="P254" s="25">
        <f>+WEEKNUM(O254,21)</f>
        <v>16</v>
      </c>
      <c r="Q254" s="238">
        <f>+J254</f>
        <v>2757825</v>
      </c>
      <c r="R254" s="41" t="s">
        <v>303</v>
      </c>
      <c r="S254" s="19"/>
    </row>
    <row r="255" spans="1:19" x14ac:dyDescent="0.25">
      <c r="A255" s="1" t="s">
        <v>652</v>
      </c>
      <c r="B255" s="21" t="s">
        <v>24</v>
      </c>
      <c r="C255" s="28">
        <v>20682100</v>
      </c>
      <c r="D255" s="21" t="s">
        <v>26</v>
      </c>
      <c r="E255" s="22">
        <v>45382</v>
      </c>
      <c r="F255" s="29">
        <v>0.1</v>
      </c>
      <c r="G255" s="220" t="s">
        <v>139</v>
      </c>
      <c r="H255" s="30">
        <f>+$H$254*F255</f>
        <v>231750</v>
      </c>
      <c r="I255" s="25">
        <f t="shared" ref="I255" si="298">+H255*0.19</f>
        <v>44032.5</v>
      </c>
      <c r="J255" s="25">
        <f t="shared" si="296"/>
        <v>-275782.5</v>
      </c>
      <c r="K255" s="167">
        <v>45384</v>
      </c>
      <c r="L255" s="26">
        <f>+E255+$L$3</f>
        <v>45403</v>
      </c>
      <c r="M255" s="26"/>
      <c r="N255" s="27"/>
      <c r="O255" s="26"/>
      <c r="P255" s="25"/>
      <c r="Q255" s="27"/>
      <c r="R255" s="27"/>
    </row>
    <row r="256" spans="1:19" x14ac:dyDescent="0.25">
      <c r="A256" s="1" t="s">
        <v>652</v>
      </c>
      <c r="B256" s="21" t="s">
        <v>24</v>
      </c>
      <c r="C256" s="28">
        <v>20683389</v>
      </c>
      <c r="D256" s="21" t="s">
        <v>26</v>
      </c>
      <c r="E256" s="22">
        <v>45382</v>
      </c>
      <c r="F256" s="29">
        <v>0.08</v>
      </c>
      <c r="G256" s="31" t="s">
        <v>139</v>
      </c>
      <c r="H256" s="32">
        <f t="shared" ref="H256" si="299">+$H$254*F256</f>
        <v>185400</v>
      </c>
      <c r="I256" s="25">
        <f>+H256*0.19</f>
        <v>35226</v>
      </c>
      <c r="J256" s="25">
        <f>+IF(D256="Compra",-(H256+I256),(H256+I256))</f>
        <v>-220626</v>
      </c>
      <c r="K256" s="169">
        <v>45384</v>
      </c>
      <c r="L256" s="26">
        <f>+E256+$L$3</f>
        <v>45403</v>
      </c>
      <c r="M256" s="26"/>
      <c r="N256" s="27"/>
      <c r="O256" s="26"/>
      <c r="P256" s="25"/>
      <c r="Q256" s="3"/>
      <c r="R256" s="3"/>
    </row>
    <row r="257" spans="1:19" x14ac:dyDescent="0.25">
      <c r="A257" s="1" t="s">
        <v>652</v>
      </c>
      <c r="B257" s="33" t="s">
        <v>24</v>
      </c>
      <c r="C257" s="34">
        <v>20682675</v>
      </c>
      <c r="D257" s="33" t="s">
        <v>26</v>
      </c>
      <c r="E257" s="35">
        <v>45382</v>
      </c>
      <c r="F257" s="36">
        <v>0.04</v>
      </c>
      <c r="G257" s="37" t="s">
        <v>139</v>
      </c>
      <c r="H257" s="38">
        <f>+$H$254*F257</f>
        <v>92700</v>
      </c>
      <c r="I257" s="39">
        <f t="shared" ref="I257" si="300">+H257*0.19</f>
        <v>17613</v>
      </c>
      <c r="J257" s="39">
        <f t="shared" ref="J257:J261" si="301">+IF(D257="Compra",-(H257+I257),(H257+I257))</f>
        <v>-110313</v>
      </c>
      <c r="K257" s="168">
        <v>45384</v>
      </c>
      <c r="L257" s="40">
        <f t="shared" ref="L257" si="302">+E257+$L$3</f>
        <v>45403</v>
      </c>
      <c r="M257" s="40"/>
      <c r="N257" s="41"/>
      <c r="O257" s="40"/>
      <c r="P257" s="39"/>
      <c r="Q257" s="7"/>
      <c r="R257" s="7"/>
    </row>
    <row r="258" spans="1:19" x14ac:dyDescent="0.25">
      <c r="A258" s="1"/>
      <c r="B258" s="21" t="s">
        <v>24</v>
      </c>
      <c r="C258" s="28">
        <v>1159</v>
      </c>
      <c r="D258" s="21" t="s">
        <v>25</v>
      </c>
      <c r="E258" s="22">
        <v>45379</v>
      </c>
      <c r="F258" s="22"/>
      <c r="G258" s="23" t="s">
        <v>139</v>
      </c>
      <c r="H258" s="24">
        <v>3676146</v>
      </c>
      <c r="I258" s="25">
        <f>+H258*0.19</f>
        <v>698467.74</v>
      </c>
      <c r="J258" s="25">
        <f t="shared" si="301"/>
        <v>4374613.74</v>
      </c>
      <c r="K258" s="167">
        <v>45401</v>
      </c>
      <c r="L258" s="26">
        <f>+E258+$L$3</f>
        <v>45400</v>
      </c>
      <c r="M258" s="162" t="s">
        <v>302</v>
      </c>
      <c r="N258" s="27"/>
      <c r="O258" s="26">
        <v>45401</v>
      </c>
      <c r="P258" s="25">
        <f>+WEEKNUM(O258,21)</f>
        <v>16</v>
      </c>
      <c r="Q258" s="238">
        <f t="shared" ref="Q258:Q259" si="303">+J258</f>
        <v>4374613.74</v>
      </c>
      <c r="R258" s="41" t="s">
        <v>303</v>
      </c>
      <c r="S258" s="19"/>
    </row>
    <row r="259" spans="1:19" x14ac:dyDescent="0.25">
      <c r="A259" s="1"/>
      <c r="B259" s="21" t="s">
        <v>24</v>
      </c>
      <c r="C259" s="137" t="s">
        <v>651</v>
      </c>
      <c r="D259" s="136" t="s">
        <v>137</v>
      </c>
      <c r="E259" s="141"/>
      <c r="F259" s="3"/>
      <c r="G259" s="138" t="s">
        <v>139</v>
      </c>
      <c r="H259" s="143">
        <f>-33*32837</f>
        <v>-1083621</v>
      </c>
      <c r="I259" s="143">
        <f t="shared" ref="I259" si="304">+H259*0.19</f>
        <v>-205887.99</v>
      </c>
      <c r="J259" s="143">
        <f>+H259+I259</f>
        <v>-1289508.99</v>
      </c>
      <c r="K259" s="196">
        <v>45383</v>
      </c>
      <c r="L259" s="26">
        <f>+E259</f>
        <v>0</v>
      </c>
      <c r="M259" s="26" t="s">
        <v>302</v>
      </c>
      <c r="N259" s="27" t="s">
        <v>616</v>
      </c>
      <c r="O259" s="26">
        <v>45401</v>
      </c>
      <c r="P259" s="25">
        <f t="shared" ref="P259:P260" si="305">+WEEKNUM(O259,21)</f>
        <v>16</v>
      </c>
      <c r="Q259" s="27">
        <f t="shared" si="303"/>
        <v>-1289508.99</v>
      </c>
      <c r="R259" s="27" t="s">
        <v>303</v>
      </c>
      <c r="S259" s="19"/>
    </row>
    <row r="260" spans="1:19" s="3" customFormat="1" ht="12" x14ac:dyDescent="0.2">
      <c r="A260" s="1"/>
      <c r="B260" s="21" t="s">
        <v>24</v>
      </c>
      <c r="C260" s="137"/>
      <c r="D260" s="136" t="s">
        <v>91</v>
      </c>
      <c r="E260" s="141"/>
      <c r="G260" s="142"/>
      <c r="H260" s="232">
        <f>+SUM(H258:H259)</f>
        <v>2592525</v>
      </c>
      <c r="I260" s="232">
        <f>+SUM(I258:I259)</f>
        <v>492579.75</v>
      </c>
      <c r="J260" s="232">
        <f>+SUM(J258:J259)</f>
        <v>3085104.75</v>
      </c>
      <c r="K260" s="233"/>
      <c r="L260" s="145"/>
      <c r="M260" s="145" t="s">
        <v>138</v>
      </c>
      <c r="N260" s="145"/>
      <c r="O260" s="26"/>
      <c r="P260" s="234">
        <f t="shared" si="305"/>
        <v>52</v>
      </c>
      <c r="R260" s="27" t="s">
        <v>303</v>
      </c>
    </row>
    <row r="261" spans="1:19" x14ac:dyDescent="0.25">
      <c r="A261" s="1" t="s">
        <v>652</v>
      </c>
      <c r="B261" s="21" t="s">
        <v>24</v>
      </c>
      <c r="C261" s="28">
        <v>20682100</v>
      </c>
      <c r="D261" s="21" t="s">
        <v>26</v>
      </c>
      <c r="E261" s="22">
        <v>45382</v>
      </c>
      <c r="F261" s="29">
        <v>0.1</v>
      </c>
      <c r="G261" s="220" t="s">
        <v>139</v>
      </c>
      <c r="H261" s="30">
        <f>+$H$258*F261</f>
        <v>367614.60000000003</v>
      </c>
      <c r="I261" s="234">
        <f t="shared" ref="I261" si="306">+H261*0.19</f>
        <v>69846.774000000005</v>
      </c>
      <c r="J261" s="234">
        <f t="shared" si="301"/>
        <v>-437461.37400000007</v>
      </c>
      <c r="K261" s="167">
        <v>45384</v>
      </c>
      <c r="L261" s="26">
        <f>+E261+$L$3</f>
        <v>45403</v>
      </c>
      <c r="M261" s="26"/>
      <c r="N261" s="27"/>
      <c r="O261" s="26"/>
      <c r="P261" s="234"/>
      <c r="Q261" s="27"/>
      <c r="R261" s="27"/>
    </row>
    <row r="262" spans="1:19" x14ac:dyDescent="0.25">
      <c r="A262" s="1" t="s">
        <v>652</v>
      </c>
      <c r="B262" s="21" t="s">
        <v>24</v>
      </c>
      <c r="C262" s="28">
        <v>20683389</v>
      </c>
      <c r="D262" s="21" t="s">
        <v>26</v>
      </c>
      <c r="E262" s="22">
        <v>45382</v>
      </c>
      <c r="F262" s="29">
        <v>0.08</v>
      </c>
      <c r="G262" s="31" t="s">
        <v>139</v>
      </c>
      <c r="H262" s="32">
        <f>+$H$258*F262</f>
        <v>294091.68</v>
      </c>
      <c r="I262" s="25">
        <f>+H262*0.19</f>
        <v>55877.419199999997</v>
      </c>
      <c r="J262" s="25">
        <f>+IF(D262="Compra",-(H262+I262),(H262+I262))</f>
        <v>-349969.0992</v>
      </c>
      <c r="K262" s="169">
        <v>45384</v>
      </c>
      <c r="L262" s="26">
        <f>+E262+$L$3</f>
        <v>45403</v>
      </c>
      <c r="M262" s="26"/>
      <c r="N262" s="27"/>
      <c r="O262" s="26"/>
      <c r="P262" s="25"/>
      <c r="Q262" s="3"/>
      <c r="R262" s="3"/>
    </row>
    <row r="263" spans="1:19" x14ac:dyDescent="0.25">
      <c r="A263" s="1" t="s">
        <v>652</v>
      </c>
      <c r="B263" s="33" t="s">
        <v>24</v>
      </c>
      <c r="C263" s="34">
        <v>20682675</v>
      </c>
      <c r="D263" s="33" t="s">
        <v>26</v>
      </c>
      <c r="E263" s="35">
        <v>45382</v>
      </c>
      <c r="F263" s="36">
        <v>0.04</v>
      </c>
      <c r="G263" s="37" t="s">
        <v>139</v>
      </c>
      <c r="H263" s="38">
        <f>+$H$258*F263</f>
        <v>147045.84</v>
      </c>
      <c r="I263" s="39">
        <f t="shared" ref="I263" si="307">+H263*0.19</f>
        <v>27938.709599999998</v>
      </c>
      <c r="J263" s="39">
        <f t="shared" ref="J263:J265" si="308">+IF(D263="Compra",-(H263+I263),(H263+I263))</f>
        <v>-174984.5496</v>
      </c>
      <c r="K263" s="168">
        <v>45384</v>
      </c>
      <c r="L263" s="40">
        <f t="shared" ref="L263" si="309">+E263+$L$3</f>
        <v>45403</v>
      </c>
      <c r="M263" s="40"/>
      <c r="N263" s="41"/>
      <c r="O263" s="40"/>
      <c r="P263" s="39"/>
      <c r="Q263" s="7"/>
      <c r="R263" s="7"/>
    </row>
    <row r="264" spans="1:19" x14ac:dyDescent="0.25">
      <c r="A264" s="1"/>
      <c r="B264" s="21" t="s">
        <v>24</v>
      </c>
      <c r="C264" s="28">
        <v>1160</v>
      </c>
      <c r="D264" s="21" t="s">
        <v>25</v>
      </c>
      <c r="E264" s="22">
        <v>45383</v>
      </c>
      <c r="F264" s="22"/>
      <c r="G264" s="23" t="s">
        <v>139</v>
      </c>
      <c r="H264" s="24">
        <v>4755278</v>
      </c>
      <c r="I264" s="25">
        <f>+H264*0.19</f>
        <v>903502.82000000007</v>
      </c>
      <c r="J264" s="25">
        <f t="shared" si="308"/>
        <v>5658780.8200000003</v>
      </c>
      <c r="K264" s="167">
        <v>45385</v>
      </c>
      <c r="L264" s="26">
        <f>+E264+$L$3</f>
        <v>45404</v>
      </c>
      <c r="M264" s="26" t="s">
        <v>302</v>
      </c>
      <c r="N264" s="241">
        <v>45408</v>
      </c>
      <c r="O264" s="162">
        <v>45408</v>
      </c>
      <c r="P264" s="25">
        <f>+WEEKNUM(O264,21)</f>
        <v>17</v>
      </c>
      <c r="Q264" s="238">
        <f>+J264</f>
        <v>5658780.8200000003</v>
      </c>
      <c r="R264" s="27" t="s">
        <v>303</v>
      </c>
      <c r="S264" s="19"/>
    </row>
    <row r="265" spans="1:19" x14ac:dyDescent="0.25">
      <c r="A265" s="1" t="s">
        <v>652</v>
      </c>
      <c r="B265" s="21" t="s">
        <v>24</v>
      </c>
      <c r="C265" s="28">
        <v>20687462</v>
      </c>
      <c r="D265" s="21" t="s">
        <v>26</v>
      </c>
      <c r="E265" s="22">
        <v>45389</v>
      </c>
      <c r="F265" s="29">
        <v>0.1</v>
      </c>
      <c r="G265" s="23" t="s">
        <v>139</v>
      </c>
      <c r="H265" s="30">
        <f>+$H$264*F265</f>
        <v>475527.80000000005</v>
      </c>
      <c r="I265" s="25">
        <f t="shared" ref="I265" si="310">+H265*0.19</f>
        <v>90350.282000000007</v>
      </c>
      <c r="J265" s="25">
        <f t="shared" si="308"/>
        <v>-565878.08200000005</v>
      </c>
      <c r="K265" s="167">
        <v>45391</v>
      </c>
      <c r="L265" s="26">
        <f>+E265+$L$3</f>
        <v>45410</v>
      </c>
      <c r="M265" s="26"/>
      <c r="N265" s="27"/>
      <c r="O265" s="26"/>
      <c r="P265" s="25"/>
      <c r="Q265" s="27"/>
      <c r="R265" s="27"/>
    </row>
    <row r="266" spans="1:19" x14ac:dyDescent="0.25">
      <c r="A266" s="1" t="s">
        <v>652</v>
      </c>
      <c r="B266" s="21" t="s">
        <v>24</v>
      </c>
      <c r="C266" s="28">
        <v>20689016</v>
      </c>
      <c r="D266" s="21" t="s">
        <v>26</v>
      </c>
      <c r="E266" s="22">
        <v>45389</v>
      </c>
      <c r="F266" s="29">
        <v>0.08</v>
      </c>
      <c r="G266" s="31" t="s">
        <v>139</v>
      </c>
      <c r="H266" s="32">
        <f t="shared" ref="H266:H267" si="311">+$H$264*F266</f>
        <v>380422.24</v>
      </c>
      <c r="I266" s="25">
        <f>+H266*0.19</f>
        <v>72280.225600000005</v>
      </c>
      <c r="J266" s="25">
        <f>+IF(D266="Compra",-(H266+I266),(H266+I266))</f>
        <v>-452702.4656</v>
      </c>
      <c r="K266" s="169">
        <v>45391</v>
      </c>
      <c r="L266" s="26">
        <f>+E266+$L$3</f>
        <v>45410</v>
      </c>
      <c r="M266" s="26"/>
      <c r="N266" s="27"/>
      <c r="O266" s="26"/>
      <c r="P266" s="25"/>
      <c r="Q266" s="3"/>
      <c r="R266" s="3"/>
    </row>
    <row r="267" spans="1:19" x14ac:dyDescent="0.25">
      <c r="A267" s="1" t="s">
        <v>652</v>
      </c>
      <c r="B267" s="33" t="s">
        <v>24</v>
      </c>
      <c r="C267" s="34">
        <v>20688050</v>
      </c>
      <c r="D267" s="33" t="s">
        <v>26</v>
      </c>
      <c r="E267" s="35">
        <v>45389</v>
      </c>
      <c r="F267" s="36">
        <v>0.04</v>
      </c>
      <c r="G267" s="37" t="s">
        <v>139</v>
      </c>
      <c r="H267" s="38">
        <f t="shared" si="311"/>
        <v>190211.12</v>
      </c>
      <c r="I267" s="39">
        <f t="shared" ref="I267:I268" si="312">+H267*0.19</f>
        <v>36140.112800000003</v>
      </c>
      <c r="J267" s="39">
        <f t="shared" ref="J267:J268" si="313">+IF(D267="Compra",-(H267+I267),(H267+I267))</f>
        <v>-226351.2328</v>
      </c>
      <c r="K267" s="168">
        <v>45391</v>
      </c>
      <c r="L267" s="40">
        <f t="shared" ref="L267:L270" si="314">+E267+$L$3</f>
        <v>45410</v>
      </c>
      <c r="M267" s="40"/>
      <c r="N267" s="41"/>
      <c r="O267" s="40"/>
      <c r="P267" s="39"/>
      <c r="Q267" s="7"/>
      <c r="R267" s="7"/>
    </row>
    <row r="268" spans="1:19" x14ac:dyDescent="0.25">
      <c r="A268" s="1" t="s">
        <v>652</v>
      </c>
      <c r="B268" s="146" t="s">
        <v>24</v>
      </c>
      <c r="C268" s="147">
        <v>20685690</v>
      </c>
      <c r="D268" s="146" t="s">
        <v>26</v>
      </c>
      <c r="E268" s="148">
        <v>45384</v>
      </c>
      <c r="F268" s="186">
        <v>1E-3</v>
      </c>
      <c r="G268" s="149" t="s">
        <v>139</v>
      </c>
      <c r="H268" s="150">
        <v>65639</v>
      </c>
      <c r="I268" s="151">
        <f t="shared" si="312"/>
        <v>12471.41</v>
      </c>
      <c r="J268" s="151">
        <f t="shared" si="313"/>
        <v>-78110.41</v>
      </c>
      <c r="K268" s="166">
        <v>45386</v>
      </c>
      <c r="L268" s="152">
        <f t="shared" si="314"/>
        <v>45405</v>
      </c>
      <c r="M268" s="40"/>
      <c r="N268" s="153"/>
      <c r="O268" s="152"/>
      <c r="P268" s="151"/>
      <c r="Q268" s="187"/>
      <c r="R268" s="187"/>
    </row>
    <row r="269" spans="1:19" x14ac:dyDescent="0.25">
      <c r="A269" s="1"/>
      <c r="B269" s="146" t="s">
        <v>24</v>
      </c>
      <c r="C269" s="147">
        <v>1168</v>
      </c>
      <c r="D269" s="146" t="s">
        <v>25</v>
      </c>
      <c r="E269" s="148">
        <v>45401</v>
      </c>
      <c r="F269" s="148"/>
      <c r="G269" s="149" t="s">
        <v>139</v>
      </c>
      <c r="H269" s="150">
        <v>2317500</v>
      </c>
      <c r="I269" s="151">
        <f t="shared" ref="I269:I271" si="315">+H269*0.19</f>
        <v>440325</v>
      </c>
      <c r="J269" s="151">
        <f t="shared" ref="J269:J271" si="316">+IF(D269="Compra",-(H269+I269),(H269+I269))</f>
        <v>2757825</v>
      </c>
      <c r="K269" s="166">
        <v>45407</v>
      </c>
      <c r="L269" s="152">
        <f t="shared" si="314"/>
        <v>45422</v>
      </c>
      <c r="M269" s="40"/>
      <c r="N269" s="153"/>
      <c r="O269" s="152"/>
      <c r="P269" s="151"/>
      <c r="Q269" s="187"/>
      <c r="R269" s="187"/>
      <c r="S269" s="19"/>
    </row>
    <row r="270" spans="1:19" x14ac:dyDescent="0.25">
      <c r="A270" s="1"/>
      <c r="B270" s="146" t="s">
        <v>24</v>
      </c>
      <c r="C270" s="147">
        <v>1169</v>
      </c>
      <c r="D270" s="146" t="s">
        <v>25</v>
      </c>
      <c r="E270" s="148">
        <v>45401</v>
      </c>
      <c r="F270" s="148"/>
      <c r="G270" s="149" t="s">
        <v>139</v>
      </c>
      <c r="H270" s="150">
        <v>1083621</v>
      </c>
      <c r="I270" s="151">
        <f t="shared" si="315"/>
        <v>205887.99</v>
      </c>
      <c r="J270" s="151">
        <f t="shared" si="316"/>
        <v>1289508.99</v>
      </c>
      <c r="K270" s="166">
        <v>45407</v>
      </c>
      <c r="L270" s="152">
        <f t="shared" si="314"/>
        <v>45422</v>
      </c>
      <c r="M270" s="40"/>
      <c r="N270" s="153"/>
      <c r="O270" s="152"/>
      <c r="P270" s="151"/>
      <c r="Q270" s="187"/>
      <c r="R270" s="187"/>
      <c r="S270" s="19"/>
    </row>
    <row r="271" spans="1:19" x14ac:dyDescent="0.25">
      <c r="A271" s="1" t="s">
        <v>652</v>
      </c>
      <c r="B271" s="146" t="s">
        <v>24</v>
      </c>
      <c r="C271" s="147">
        <v>21037855</v>
      </c>
      <c r="D271" s="146" t="s">
        <v>26</v>
      </c>
      <c r="E271" s="148">
        <v>45414</v>
      </c>
      <c r="F271" s="186">
        <v>1E-3</v>
      </c>
      <c r="G271" s="149" t="s">
        <v>139</v>
      </c>
      <c r="H271" s="150">
        <v>4755</v>
      </c>
      <c r="I271" s="151">
        <f t="shared" si="315"/>
        <v>903.45</v>
      </c>
      <c r="J271" s="151">
        <f t="shared" si="316"/>
        <v>-5658.45</v>
      </c>
      <c r="K271" s="166">
        <v>45386</v>
      </c>
      <c r="L271" s="152">
        <f t="shared" ref="L271" si="317">+E271+$L$3</f>
        <v>45435</v>
      </c>
      <c r="M271" s="40"/>
      <c r="N271" s="153"/>
      <c r="O271" s="152"/>
      <c r="P271" s="151"/>
      <c r="Q271" s="187"/>
      <c r="R271" s="187"/>
    </row>
  </sheetData>
  <autoFilter ref="A4:W271" xr:uid="{862157F5-DB95-4D35-BAA6-80EA2CEA0291}"/>
  <pageMargins left="0.7" right="0.7" top="0.75" bottom="0.75" header="0.3" footer="0.3"/>
  <pageSetup paperSize="9" orientation="portrait" horizontalDpi="300" verticalDpi="300" r:id="rId1"/>
  <ignoredErrors>
    <ignoredError sqref="I112 I236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6BF0-58EF-40A4-94E3-897CFDA824A4}">
  <sheetPr>
    <tabColor theme="9" tint="-0.249977111117893"/>
  </sheetPr>
  <dimension ref="C2:AD31"/>
  <sheetViews>
    <sheetView topLeftCell="Q7" zoomScale="115" zoomScaleNormal="115" workbookViewId="0">
      <selection activeCell="AB24" sqref="AB24"/>
    </sheetView>
  </sheetViews>
  <sheetFormatPr baseColWidth="10" defaultRowHeight="15" x14ac:dyDescent="0.25"/>
  <cols>
    <col min="1" max="2" width="1.7109375" customWidth="1"/>
    <col min="8" max="8" width="13.5703125" bestFit="1" customWidth="1"/>
    <col min="11" max="11" width="22" customWidth="1"/>
    <col min="19" max="19" width="16.42578125" bestFit="1" customWidth="1"/>
    <col min="20" max="20" width="4.28515625" customWidth="1"/>
    <col min="21" max="24" width="11.42578125" style="93"/>
    <col min="25" max="25" width="17.28515625" style="93" bestFit="1" customWidth="1"/>
    <col min="26" max="26" width="13" style="93" bestFit="1" customWidth="1"/>
    <col min="27" max="27" width="9.140625" style="93" bestFit="1" customWidth="1"/>
    <col min="28" max="28" width="11.42578125" style="93"/>
  </cols>
  <sheetData>
    <row r="2" spans="3:27" s="50" customFormat="1" ht="17.25" x14ac:dyDescent="0.25">
      <c r="C2" s="48"/>
      <c r="D2" s="48"/>
      <c r="E2" s="48"/>
      <c r="F2" s="250" t="s">
        <v>32</v>
      </c>
      <c r="G2" s="251"/>
      <c r="H2" s="251"/>
      <c r="I2" s="251"/>
      <c r="J2" s="251"/>
      <c r="K2" s="251"/>
      <c r="L2" s="251"/>
      <c r="M2" s="251"/>
      <c r="N2" s="48"/>
      <c r="O2" s="48"/>
      <c r="P2" s="48"/>
      <c r="Q2" s="48"/>
      <c r="R2" s="48"/>
      <c r="S2" s="48"/>
      <c r="T2" s="49"/>
      <c r="U2" s="56"/>
      <c r="V2" s="56"/>
      <c r="W2" s="56"/>
      <c r="X2" s="56"/>
      <c r="Y2" s="56"/>
      <c r="Z2" s="56"/>
      <c r="AA2" s="56"/>
    </row>
    <row r="3" spans="3:27" s="50" customFormat="1" ht="12.75" x14ac:dyDescent="0.2"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9"/>
      <c r="U3" s="56"/>
      <c r="V3" s="56"/>
      <c r="W3" s="56"/>
      <c r="X3" s="56"/>
      <c r="Y3" s="56"/>
      <c r="Z3" s="56"/>
      <c r="AA3" s="56"/>
    </row>
    <row r="4" spans="3:27" s="50" customFormat="1" ht="12.75" x14ac:dyDescent="0.2">
      <c r="C4" s="57" t="s">
        <v>33</v>
      </c>
      <c r="D4" s="58" t="s">
        <v>34</v>
      </c>
      <c r="E4" s="59"/>
      <c r="F4" s="60"/>
      <c r="G4" s="59" t="s">
        <v>35</v>
      </c>
      <c r="H4" s="61">
        <v>63660944</v>
      </c>
      <c r="I4" s="60"/>
      <c r="J4" s="59" t="s">
        <v>36</v>
      </c>
      <c r="K4" s="62">
        <v>68932</v>
      </c>
      <c r="L4" s="60"/>
      <c r="M4" s="59" t="s">
        <v>37</v>
      </c>
      <c r="N4" s="58" t="s">
        <v>38</v>
      </c>
      <c r="O4" s="59"/>
      <c r="P4" s="63"/>
      <c r="Q4" s="64"/>
      <c r="R4" s="64"/>
      <c r="S4" s="64"/>
      <c r="T4" s="49"/>
      <c r="U4" s="56"/>
      <c r="V4" s="56"/>
      <c r="W4" s="56"/>
      <c r="X4" s="56"/>
      <c r="Y4" s="56"/>
      <c r="Z4" s="56"/>
      <c r="AA4" s="56"/>
    </row>
    <row r="5" spans="3:27" s="50" customFormat="1" ht="12.75" x14ac:dyDescent="0.2">
      <c r="C5" s="63" t="s">
        <v>39</v>
      </c>
      <c r="D5" s="65" t="s">
        <v>40</v>
      </c>
      <c r="E5" s="64"/>
      <c r="F5" s="63"/>
      <c r="G5" s="63" t="s">
        <v>41</v>
      </c>
      <c r="H5" s="66">
        <v>487275</v>
      </c>
      <c r="I5" s="63"/>
      <c r="J5" s="63" t="s">
        <v>42</v>
      </c>
      <c r="K5" s="67">
        <v>0</v>
      </c>
      <c r="L5" s="63"/>
      <c r="M5" s="63" t="s">
        <v>43</v>
      </c>
      <c r="N5" s="68" t="s">
        <v>44</v>
      </c>
      <c r="O5" s="64"/>
      <c r="P5" s="63"/>
      <c r="Q5" s="64"/>
      <c r="R5" s="64"/>
      <c r="S5" s="64"/>
      <c r="T5" s="49"/>
      <c r="U5" s="56"/>
      <c r="V5" s="56"/>
      <c r="W5" s="56"/>
      <c r="X5" s="56"/>
      <c r="Y5" s="56"/>
      <c r="Z5" s="56"/>
      <c r="AA5" s="56"/>
    </row>
    <row r="6" spans="3:27" s="50" customFormat="1" ht="12.75" x14ac:dyDescent="0.2">
      <c r="C6" s="63" t="s">
        <v>45</v>
      </c>
      <c r="D6" s="69" t="s">
        <v>161</v>
      </c>
      <c r="E6" s="64"/>
      <c r="F6" s="63"/>
      <c r="G6" s="63" t="s">
        <v>46</v>
      </c>
      <c r="H6" s="66">
        <v>63173669</v>
      </c>
      <c r="I6" s="63"/>
      <c r="J6" s="63"/>
      <c r="K6" s="64"/>
      <c r="L6" s="63"/>
      <c r="M6" s="63" t="s">
        <v>47</v>
      </c>
      <c r="N6" s="68">
        <v>68084617</v>
      </c>
      <c r="O6" s="64"/>
      <c r="P6" s="63"/>
      <c r="Q6" s="64"/>
      <c r="R6" s="64"/>
      <c r="S6" s="64"/>
      <c r="T6" s="49"/>
      <c r="U6" s="56"/>
      <c r="V6" s="56"/>
      <c r="W6" s="56"/>
      <c r="X6" s="56"/>
      <c r="Y6" s="56"/>
      <c r="Z6" s="56"/>
      <c r="AA6" s="56"/>
    </row>
    <row r="7" spans="3:27" s="50" customFormat="1" ht="12.75" x14ac:dyDescent="0.2">
      <c r="C7" s="63" t="s">
        <v>48</v>
      </c>
      <c r="D7" s="70">
        <v>891992</v>
      </c>
      <c r="E7" s="64"/>
      <c r="F7" s="63"/>
      <c r="G7" s="63"/>
      <c r="H7" s="64"/>
      <c r="I7" s="63"/>
      <c r="J7" s="63"/>
      <c r="K7" s="64"/>
      <c r="L7" s="63"/>
      <c r="M7" s="63" t="s">
        <v>49</v>
      </c>
      <c r="N7" s="70">
        <v>63104737</v>
      </c>
      <c r="O7" s="64"/>
      <c r="P7" s="63"/>
      <c r="Q7" s="64"/>
      <c r="R7" s="64"/>
      <c r="S7" s="64"/>
      <c r="T7" s="49"/>
      <c r="U7" s="56"/>
      <c r="V7" s="56"/>
      <c r="W7" s="56"/>
      <c r="X7" s="56"/>
      <c r="Y7" s="56"/>
      <c r="Z7" s="95" t="s">
        <v>103</v>
      </c>
      <c r="AA7" s="56">
        <v>1.6</v>
      </c>
    </row>
    <row r="8" spans="3:27" s="50" customFormat="1" ht="12.75" x14ac:dyDescent="0.2">
      <c r="C8" s="71"/>
      <c r="D8" s="71"/>
      <c r="E8" s="71"/>
      <c r="F8" s="72"/>
      <c r="G8" s="71"/>
      <c r="H8" s="71"/>
      <c r="I8" s="72"/>
      <c r="J8" s="71"/>
      <c r="K8" s="71"/>
      <c r="L8" s="72"/>
      <c r="M8" s="71"/>
      <c r="N8" s="71"/>
      <c r="O8" s="71"/>
      <c r="P8" s="64"/>
      <c r="Q8" s="64"/>
      <c r="R8" s="64"/>
      <c r="S8" s="64"/>
      <c r="T8" s="49"/>
      <c r="U8" s="56"/>
      <c r="V8" s="56"/>
      <c r="W8" s="56"/>
      <c r="X8" s="56"/>
      <c r="Y8" s="56"/>
      <c r="Z8" s="95" t="s">
        <v>102</v>
      </c>
      <c r="AA8" s="94">
        <v>36203.56</v>
      </c>
    </row>
    <row r="9" spans="3:27" s="50" customFormat="1" x14ac:dyDescent="0.25">
      <c r="C9" s="252" t="s">
        <v>50</v>
      </c>
      <c r="D9" s="253"/>
      <c r="E9" s="252" t="s">
        <v>51</v>
      </c>
      <c r="F9" s="253"/>
      <c r="G9" s="73" t="s">
        <v>52</v>
      </c>
      <c r="H9" s="73" t="s">
        <v>53</v>
      </c>
      <c r="I9" s="252" t="s">
        <v>54</v>
      </c>
      <c r="J9" s="253"/>
      <c r="K9" s="73" t="s">
        <v>55</v>
      </c>
      <c r="L9" s="252" t="s">
        <v>56</v>
      </c>
      <c r="M9" s="253"/>
      <c r="N9" s="73" t="s">
        <v>57</v>
      </c>
      <c r="O9" s="73" t="s">
        <v>58</v>
      </c>
      <c r="P9" s="74" t="s">
        <v>59</v>
      </c>
      <c r="Q9" s="74" t="s">
        <v>60</v>
      </c>
      <c r="R9" s="74" t="s">
        <v>61</v>
      </c>
      <c r="S9" s="74" t="s">
        <v>62</v>
      </c>
      <c r="T9" s="49"/>
      <c r="U9" s="82"/>
      <c r="V9" s="83"/>
      <c r="W9" s="84"/>
      <c r="X9" s="84"/>
      <c r="Y9" s="85" t="s">
        <v>63</v>
      </c>
      <c r="Z9" s="85" t="s">
        <v>64</v>
      </c>
      <c r="AA9" s="86" t="s">
        <v>65</v>
      </c>
    </row>
    <row r="10" spans="3:27" s="50" customFormat="1" x14ac:dyDescent="0.25">
      <c r="C10" s="245" t="s">
        <v>66</v>
      </c>
      <c r="D10" s="249"/>
      <c r="E10" s="246" t="s">
        <v>67</v>
      </c>
      <c r="F10" s="249"/>
      <c r="G10" s="75" t="s">
        <v>161</v>
      </c>
      <c r="H10" s="76">
        <v>1230631305</v>
      </c>
      <c r="I10" s="247" t="s">
        <v>68</v>
      </c>
      <c r="J10" s="249"/>
      <c r="K10" s="78" t="s">
        <v>162</v>
      </c>
      <c r="L10" s="248" t="s">
        <v>96</v>
      </c>
      <c r="M10" s="249"/>
      <c r="N10" s="77" t="s">
        <v>163</v>
      </c>
      <c r="O10" s="76">
        <v>-96942</v>
      </c>
      <c r="P10" s="76">
        <v>-96942</v>
      </c>
      <c r="Q10" s="79" t="s">
        <v>164</v>
      </c>
      <c r="R10" s="76">
        <v>-513.79</v>
      </c>
      <c r="S10" s="76">
        <v>-96428</v>
      </c>
      <c r="T10" s="49"/>
      <c r="U10" s="82">
        <f t="shared" ref="U10:U13" si="0">+R10/P10</f>
        <v>5.2999731798394909E-3</v>
      </c>
      <c r="V10" s="87">
        <f t="shared" ref="V10:V13" si="1">+U10*P10</f>
        <v>-513.79</v>
      </c>
      <c r="W10" s="84">
        <f t="shared" ref="W10:W13" si="2">+P10-V10</f>
        <v>-96428.21</v>
      </c>
      <c r="X10" s="84"/>
      <c r="Y10" s="88">
        <f>+Q10%*(N10/30)*P10</f>
        <v>-513.79259999999999</v>
      </c>
      <c r="Z10" s="89"/>
      <c r="AA10" s="90"/>
    </row>
    <row r="11" spans="3:27" s="50" customFormat="1" x14ac:dyDescent="0.25">
      <c r="C11" s="245" t="s">
        <v>66</v>
      </c>
      <c r="D11" s="249"/>
      <c r="E11" s="246" t="s">
        <v>67</v>
      </c>
      <c r="F11" s="249"/>
      <c r="G11" s="75" t="s">
        <v>161</v>
      </c>
      <c r="H11" s="76">
        <v>1230631305</v>
      </c>
      <c r="I11" s="247" t="s">
        <v>68</v>
      </c>
      <c r="J11" s="249"/>
      <c r="K11" s="78" t="s">
        <v>165</v>
      </c>
      <c r="L11" s="248" t="s">
        <v>96</v>
      </c>
      <c r="M11" s="249"/>
      <c r="N11" s="77" t="s">
        <v>163</v>
      </c>
      <c r="O11" s="76">
        <v>-4796013</v>
      </c>
      <c r="P11" s="76">
        <v>-4796013</v>
      </c>
      <c r="Q11" s="79" t="s">
        <v>164</v>
      </c>
      <c r="R11" s="76">
        <v>-25418.87</v>
      </c>
      <c r="S11" s="76">
        <v>-4770594</v>
      </c>
      <c r="T11" s="49"/>
      <c r="U11" s="82">
        <f t="shared" si="0"/>
        <v>5.3000002293571765E-3</v>
      </c>
      <c r="V11" s="87">
        <f t="shared" si="1"/>
        <v>-25418.87</v>
      </c>
      <c r="W11" s="84">
        <f t="shared" si="2"/>
        <v>-4770594.13</v>
      </c>
      <c r="X11" s="84"/>
      <c r="Y11" s="88">
        <f t="shared" ref="Y11:Y22" si="3">+Q11%*(N11/30)*P11</f>
        <v>-25418.868900000001</v>
      </c>
      <c r="Z11" s="83"/>
      <c r="AA11" s="56"/>
    </row>
    <row r="12" spans="3:27" s="49" customFormat="1" x14ac:dyDescent="0.25">
      <c r="C12" s="245" t="s">
        <v>66</v>
      </c>
      <c r="D12" s="249"/>
      <c r="E12" s="246" t="s">
        <v>67</v>
      </c>
      <c r="F12" s="249"/>
      <c r="G12" s="75" t="s">
        <v>161</v>
      </c>
      <c r="H12" s="76">
        <v>1230631305</v>
      </c>
      <c r="I12" s="247" t="s">
        <v>68</v>
      </c>
      <c r="J12" s="249"/>
      <c r="K12" s="78" t="s">
        <v>166</v>
      </c>
      <c r="L12" s="248" t="s">
        <v>96</v>
      </c>
      <c r="M12" s="249"/>
      <c r="N12" s="77" t="s">
        <v>163</v>
      </c>
      <c r="O12" s="76">
        <v>-1918405</v>
      </c>
      <c r="P12" s="76">
        <v>-1918405</v>
      </c>
      <c r="Q12" s="79" t="s">
        <v>164</v>
      </c>
      <c r="R12" s="76">
        <v>-10167.549999999999</v>
      </c>
      <c r="S12" s="76">
        <v>-1908237</v>
      </c>
      <c r="U12" s="82">
        <f t="shared" si="0"/>
        <v>5.3000018244322754E-3</v>
      </c>
      <c r="V12" s="87">
        <f t="shared" si="1"/>
        <v>-10167.549999999999</v>
      </c>
      <c r="W12" s="84">
        <f t="shared" si="2"/>
        <v>-1908237.45</v>
      </c>
      <c r="X12" s="83"/>
      <c r="Y12" s="88">
        <f t="shared" si="3"/>
        <v>-10167.5465</v>
      </c>
      <c r="Z12" s="83"/>
      <c r="AA12" s="56"/>
    </row>
    <row r="13" spans="3:27" s="49" customFormat="1" x14ac:dyDescent="0.25">
      <c r="C13" s="245" t="s">
        <v>66</v>
      </c>
      <c r="D13" s="249"/>
      <c r="E13" s="246" t="s">
        <v>67</v>
      </c>
      <c r="F13" s="249"/>
      <c r="G13" s="75" t="s">
        <v>161</v>
      </c>
      <c r="H13" s="76">
        <v>1230631305</v>
      </c>
      <c r="I13" s="247" t="s">
        <v>68</v>
      </c>
      <c r="J13" s="249"/>
      <c r="K13" s="78" t="s">
        <v>167</v>
      </c>
      <c r="L13" s="248" t="s">
        <v>96</v>
      </c>
      <c r="M13" s="249"/>
      <c r="N13" s="77" t="s">
        <v>163</v>
      </c>
      <c r="O13" s="76">
        <v>-3836811</v>
      </c>
      <c r="P13" s="76">
        <v>-3836811</v>
      </c>
      <c r="Q13" s="79" t="s">
        <v>164</v>
      </c>
      <c r="R13" s="76">
        <v>-20335.099999999999</v>
      </c>
      <c r="S13" s="76">
        <v>-3816476</v>
      </c>
      <c r="U13" s="82">
        <f t="shared" si="0"/>
        <v>5.3000004430762936E-3</v>
      </c>
      <c r="V13" s="87">
        <f t="shared" si="1"/>
        <v>-20335.099999999999</v>
      </c>
      <c r="W13" s="84">
        <f t="shared" si="2"/>
        <v>-3816475.9</v>
      </c>
      <c r="X13" s="83"/>
      <c r="Y13" s="88">
        <f t="shared" si="3"/>
        <v>-20335.098300000001</v>
      </c>
      <c r="Z13" s="83"/>
      <c r="AA13" s="56"/>
    </row>
    <row r="14" spans="3:27" s="49" customFormat="1" x14ac:dyDescent="0.25">
      <c r="C14" s="245" t="s">
        <v>66</v>
      </c>
      <c r="D14" s="249"/>
      <c r="E14" s="246" t="s">
        <v>67</v>
      </c>
      <c r="F14" s="249"/>
      <c r="G14" s="75" t="s">
        <v>161</v>
      </c>
      <c r="H14" s="76">
        <v>1230631305</v>
      </c>
      <c r="I14" s="247" t="s">
        <v>68</v>
      </c>
      <c r="J14" s="249"/>
      <c r="K14" s="78" t="s">
        <v>168</v>
      </c>
      <c r="L14" s="248" t="s">
        <v>96</v>
      </c>
      <c r="M14" s="249"/>
      <c r="N14" s="77" t="s">
        <v>163</v>
      </c>
      <c r="O14" s="76">
        <v>-47961</v>
      </c>
      <c r="P14" s="76">
        <v>-47961</v>
      </c>
      <c r="Q14" s="79" t="s">
        <v>164</v>
      </c>
      <c r="R14" s="76">
        <v>-254.19</v>
      </c>
      <c r="S14" s="76">
        <v>-47707</v>
      </c>
      <c r="U14" s="82">
        <f t="shared" ref="U14:U18" si="4">+R14/P14</f>
        <v>5.2999311940952025E-3</v>
      </c>
      <c r="V14" s="87">
        <f t="shared" ref="V14:V18" si="5">+U14*P14</f>
        <v>-254.19</v>
      </c>
      <c r="W14" s="84">
        <f t="shared" ref="W14:W18" si="6">+P14-V14</f>
        <v>-47706.81</v>
      </c>
      <c r="X14" s="83"/>
      <c r="Y14" s="88">
        <f t="shared" si="3"/>
        <v>-254.19329999999999</v>
      </c>
      <c r="Z14" s="83"/>
      <c r="AA14" s="56"/>
    </row>
    <row r="15" spans="3:27" s="49" customFormat="1" x14ac:dyDescent="0.25">
      <c r="C15" s="245" t="s">
        <v>66</v>
      </c>
      <c r="D15" s="249"/>
      <c r="E15" s="246" t="s">
        <v>67</v>
      </c>
      <c r="F15" s="249"/>
      <c r="G15" s="75" t="s">
        <v>161</v>
      </c>
      <c r="H15" s="76">
        <v>1230631305</v>
      </c>
      <c r="I15" s="247" t="s">
        <v>69</v>
      </c>
      <c r="J15" s="249"/>
      <c r="K15" s="78" t="s">
        <v>162</v>
      </c>
      <c r="L15" s="248" t="s">
        <v>96</v>
      </c>
      <c r="M15" s="249"/>
      <c r="N15" s="77" t="s">
        <v>163</v>
      </c>
      <c r="O15" s="76">
        <v>31940485</v>
      </c>
      <c r="P15" s="76">
        <v>31940485</v>
      </c>
      <c r="Q15" s="79" t="s">
        <v>164</v>
      </c>
      <c r="R15" s="76">
        <v>169284.57</v>
      </c>
      <c r="S15" s="76">
        <v>31771200</v>
      </c>
      <c r="U15" s="82">
        <f t="shared" si="4"/>
        <v>5.2999999843458857E-3</v>
      </c>
      <c r="V15" s="87">
        <f t="shared" si="5"/>
        <v>169284.57</v>
      </c>
      <c r="W15" s="84">
        <f t="shared" si="6"/>
        <v>31771200.43</v>
      </c>
      <c r="X15" s="83"/>
      <c r="Y15" s="88">
        <f t="shared" si="3"/>
        <v>169284.5705</v>
      </c>
      <c r="Z15" s="83"/>
      <c r="AA15" s="56"/>
    </row>
    <row r="16" spans="3:27" s="49" customFormat="1" ht="12.75" x14ac:dyDescent="0.2">
      <c r="C16" s="245" t="s">
        <v>66</v>
      </c>
      <c r="D16" s="243"/>
      <c r="E16" s="246" t="s">
        <v>67</v>
      </c>
      <c r="F16" s="243"/>
      <c r="G16" s="75" t="s">
        <v>161</v>
      </c>
      <c r="H16" s="76">
        <v>1230631307</v>
      </c>
      <c r="I16" s="247" t="s">
        <v>68</v>
      </c>
      <c r="J16" s="243"/>
      <c r="K16" s="78" t="s">
        <v>169</v>
      </c>
      <c r="L16" s="248" t="s">
        <v>170</v>
      </c>
      <c r="M16" s="243"/>
      <c r="N16" s="77" t="s">
        <v>171</v>
      </c>
      <c r="O16" s="76">
        <v>-290826</v>
      </c>
      <c r="P16" s="76">
        <v>-290826</v>
      </c>
      <c r="Q16" s="79" t="s">
        <v>164</v>
      </c>
      <c r="R16" s="76">
        <v>-2568.96</v>
      </c>
      <c r="S16" s="76">
        <v>-288257</v>
      </c>
      <c r="U16" s="82">
        <f t="shared" si="4"/>
        <v>8.8333230178869841E-3</v>
      </c>
      <c r="V16" s="87">
        <f t="shared" si="5"/>
        <v>-2568.96</v>
      </c>
      <c r="W16" s="84">
        <f t="shared" si="6"/>
        <v>-288257.03999999998</v>
      </c>
      <c r="X16" s="83"/>
      <c r="Y16" s="88">
        <f t="shared" si="3"/>
        <v>-2568.9630000000002</v>
      </c>
      <c r="Z16" s="83"/>
      <c r="AA16" s="56"/>
    </row>
    <row r="17" spans="3:30" s="49" customFormat="1" x14ac:dyDescent="0.25">
      <c r="C17" s="245" t="s">
        <v>66</v>
      </c>
      <c r="D17" s="249"/>
      <c r="E17" s="246" t="s">
        <v>67</v>
      </c>
      <c r="F17" s="249"/>
      <c r="G17" s="75" t="s">
        <v>161</v>
      </c>
      <c r="H17" s="76">
        <v>1230631307</v>
      </c>
      <c r="I17" s="247" t="s">
        <v>69</v>
      </c>
      <c r="J17" s="249"/>
      <c r="K17" s="78" t="s">
        <v>169</v>
      </c>
      <c r="L17" s="248" t="s">
        <v>170</v>
      </c>
      <c r="M17" s="249"/>
      <c r="N17" s="77" t="s">
        <v>171</v>
      </c>
      <c r="O17" s="76">
        <v>40200313</v>
      </c>
      <c r="P17" s="76">
        <v>40200313</v>
      </c>
      <c r="Q17" s="79" t="s">
        <v>164</v>
      </c>
      <c r="R17" s="76">
        <v>355102.76</v>
      </c>
      <c r="S17" s="76">
        <v>39845210</v>
      </c>
      <c r="U17" s="82">
        <f t="shared" si="4"/>
        <v>8.8333332131020972E-3</v>
      </c>
      <c r="V17" s="87">
        <f t="shared" si="5"/>
        <v>355102.76</v>
      </c>
      <c r="W17" s="84">
        <f t="shared" si="6"/>
        <v>39845210.240000002</v>
      </c>
      <c r="X17" s="83"/>
      <c r="Y17" s="88">
        <f t="shared" si="3"/>
        <v>355102.76483333332</v>
      </c>
      <c r="Z17" s="83"/>
      <c r="AA17" s="56"/>
      <c r="AB17" s="56"/>
    </row>
    <row r="18" spans="3:30" s="49" customFormat="1" x14ac:dyDescent="0.25">
      <c r="C18" s="245" t="s">
        <v>66</v>
      </c>
      <c r="D18" s="249"/>
      <c r="E18" s="246" t="s">
        <v>67</v>
      </c>
      <c r="F18" s="249"/>
      <c r="G18" s="75" t="s">
        <v>161</v>
      </c>
      <c r="H18" s="76">
        <v>1230631307</v>
      </c>
      <c r="I18" s="247" t="s">
        <v>69</v>
      </c>
      <c r="J18" s="249"/>
      <c r="K18" s="78" t="s">
        <v>172</v>
      </c>
      <c r="L18" s="248" t="s">
        <v>170</v>
      </c>
      <c r="M18" s="249"/>
      <c r="N18" s="77" t="s">
        <v>171</v>
      </c>
      <c r="O18" s="76">
        <v>2507104</v>
      </c>
      <c r="P18" s="76">
        <v>2507104</v>
      </c>
      <c r="Q18" s="79" t="s">
        <v>164</v>
      </c>
      <c r="R18" s="76">
        <v>22146.09</v>
      </c>
      <c r="S18" s="76">
        <v>2484958</v>
      </c>
      <c r="U18" s="82">
        <f t="shared" si="4"/>
        <v>8.8333351947107105E-3</v>
      </c>
      <c r="V18" s="87">
        <f t="shared" si="5"/>
        <v>22146.09</v>
      </c>
      <c r="W18" s="84">
        <f t="shared" si="6"/>
        <v>2484957.91</v>
      </c>
      <c r="X18" s="83"/>
      <c r="Y18" s="88">
        <f t="shared" si="3"/>
        <v>22146.085333333333</v>
      </c>
      <c r="Z18" s="83"/>
      <c r="AA18" s="56"/>
      <c r="AB18" s="56"/>
    </row>
    <row r="19" spans="3:30" s="49" customFormat="1" ht="12.75" x14ac:dyDescent="0.2"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U19" s="82"/>
      <c r="V19" s="83"/>
      <c r="W19" s="84"/>
      <c r="X19" s="83"/>
      <c r="Y19" s="88">
        <f t="shared" ref="Y19:Y20" si="7">+Q19%*(N19/30)*P19</f>
        <v>0</v>
      </c>
      <c r="Z19" s="83"/>
      <c r="AA19" s="56"/>
      <c r="AB19" s="56"/>
    </row>
    <row r="20" spans="3:30" s="49" customFormat="1" ht="12.75" x14ac:dyDescent="0.2"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U20" s="82"/>
      <c r="V20" s="83"/>
      <c r="W20" s="84"/>
      <c r="X20" s="83"/>
      <c r="Y20" s="88">
        <f t="shared" si="7"/>
        <v>0</v>
      </c>
      <c r="Z20" s="83"/>
      <c r="AA20" s="56"/>
      <c r="AB20" s="56"/>
    </row>
    <row r="21" spans="3:30" s="49" customFormat="1" ht="12.75" x14ac:dyDescent="0.2">
      <c r="C21" s="243" t="s">
        <v>70</v>
      </c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76">
        <v>63660944</v>
      </c>
      <c r="P21" s="76">
        <v>63660944</v>
      </c>
      <c r="Q21" s="80"/>
      <c r="R21" s="76">
        <v>487275</v>
      </c>
      <c r="S21" s="76">
        <v>63173669</v>
      </c>
      <c r="U21" s="82"/>
      <c r="V21" s="83"/>
      <c r="W21" s="84"/>
      <c r="X21" s="83"/>
      <c r="Y21" s="88">
        <f t="shared" si="3"/>
        <v>0</v>
      </c>
      <c r="Z21" s="83"/>
      <c r="AA21" s="56"/>
      <c r="AB21" s="56"/>
    </row>
    <row r="22" spans="3:30" s="49" customFormat="1" ht="12.75" x14ac:dyDescent="0.2"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U22" s="82"/>
      <c r="V22" s="83"/>
      <c r="W22" s="84"/>
      <c r="X22" s="83"/>
      <c r="Y22" s="88">
        <f t="shared" si="3"/>
        <v>0</v>
      </c>
      <c r="Z22" s="83"/>
      <c r="AA22" s="56"/>
      <c r="AB22" s="56"/>
    </row>
    <row r="23" spans="3:30" s="49" customFormat="1" ht="12.75" x14ac:dyDescent="0.2"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U23" s="82"/>
      <c r="V23" s="83"/>
      <c r="W23" s="84"/>
      <c r="X23" s="56"/>
      <c r="Y23" s="88"/>
      <c r="Z23" s="56"/>
      <c r="AA23" s="56"/>
      <c r="AB23" s="56"/>
    </row>
    <row r="24" spans="3:30" s="49" customFormat="1" ht="12.75" x14ac:dyDescent="0.2">
      <c r="C24" s="244" t="s">
        <v>70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76">
        <f>+SUM(O10:O18)</f>
        <v>63660944</v>
      </c>
      <c r="P24" s="76">
        <f>+SUM(P10:P18)</f>
        <v>63660944</v>
      </c>
      <c r="Q24" s="80"/>
      <c r="R24" s="76">
        <f>+SUM(R10:R18)</f>
        <v>487274.96</v>
      </c>
      <c r="S24" s="76">
        <f>+SUM(S10:S18)</f>
        <v>63173669</v>
      </c>
      <c r="U24" s="82"/>
      <c r="V24" s="91">
        <f>SUM(V10:V19)</f>
        <v>487274.96</v>
      </c>
      <c r="W24" s="91">
        <f>SUM(W10:W20)</f>
        <v>63173669.040000007</v>
      </c>
      <c r="X24" s="56"/>
      <c r="Y24" s="91">
        <f>SUM(Y10:Y19)</f>
        <v>487274.95806666667</v>
      </c>
      <c r="Z24" s="91">
        <f>$AA$7*$AA$8*1.19</f>
        <v>68931.578239999988</v>
      </c>
      <c r="AA24" s="91">
        <f>+Y24+Z24</f>
        <v>556206.53630666668</v>
      </c>
      <c r="AB24" s="92">
        <f>+W24-Z24</f>
        <v>63104737.461760007</v>
      </c>
      <c r="AD24" s="56" t="s">
        <v>156</v>
      </c>
    </row>
    <row r="25" spans="3:30" s="49" customFormat="1" ht="12.75" x14ac:dyDescent="0.2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U25" s="82"/>
      <c r="V25" s="83"/>
      <c r="W25" s="84"/>
      <c r="X25" s="56"/>
      <c r="Y25" s="88"/>
      <c r="Z25" s="56"/>
      <c r="AA25" s="56"/>
      <c r="AB25" s="56"/>
    </row>
    <row r="26" spans="3:30" s="49" customFormat="1" ht="12.75" x14ac:dyDescent="0.2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U26" s="82"/>
      <c r="V26" s="83"/>
      <c r="W26" s="84"/>
      <c r="X26" s="56"/>
      <c r="Y26" s="88"/>
      <c r="Z26" s="56"/>
      <c r="AA26" s="56"/>
      <c r="AB26" s="96"/>
    </row>
    <row r="27" spans="3:30" s="49" customFormat="1" ht="11.25" x14ac:dyDescent="0.15">
      <c r="C27" s="81" t="s">
        <v>71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U27" s="82"/>
      <c r="V27" s="83"/>
      <c r="W27" s="84"/>
      <c r="X27" s="56"/>
      <c r="Y27" s="88"/>
      <c r="Z27" s="56"/>
      <c r="AA27" s="56"/>
      <c r="AB27" s="56"/>
    </row>
    <row r="31" spans="3:30" x14ac:dyDescent="0.25">
      <c r="C31" s="2" t="s">
        <v>31</v>
      </c>
    </row>
  </sheetData>
  <mergeCells count="43">
    <mergeCell ref="C10:D10"/>
    <mergeCell ref="E10:F10"/>
    <mergeCell ref="I10:J10"/>
    <mergeCell ref="L10:M10"/>
    <mergeCell ref="F2:M2"/>
    <mergeCell ref="C9:D9"/>
    <mergeCell ref="E9:F9"/>
    <mergeCell ref="I9:J9"/>
    <mergeCell ref="L9:M9"/>
    <mergeCell ref="C11:D11"/>
    <mergeCell ref="E11:F11"/>
    <mergeCell ref="I11:J11"/>
    <mergeCell ref="L11:M11"/>
    <mergeCell ref="C12:D12"/>
    <mergeCell ref="E12:F12"/>
    <mergeCell ref="I12:J12"/>
    <mergeCell ref="L12:M12"/>
    <mergeCell ref="C13:D13"/>
    <mergeCell ref="E13:F13"/>
    <mergeCell ref="I13:J13"/>
    <mergeCell ref="L13:M13"/>
    <mergeCell ref="C14:D14"/>
    <mergeCell ref="E14:F14"/>
    <mergeCell ref="I14:J14"/>
    <mergeCell ref="L14:M14"/>
    <mergeCell ref="C15:D15"/>
    <mergeCell ref="E15:F15"/>
    <mergeCell ref="I15:J15"/>
    <mergeCell ref="L15:M15"/>
    <mergeCell ref="E18:F18"/>
    <mergeCell ref="I18:J18"/>
    <mergeCell ref="L18:M18"/>
    <mergeCell ref="C21:N21"/>
    <mergeCell ref="C24:N24"/>
    <mergeCell ref="C16:D16"/>
    <mergeCell ref="E16:F16"/>
    <mergeCell ref="I16:J16"/>
    <mergeCell ref="L16:M16"/>
    <mergeCell ref="C17:D17"/>
    <mergeCell ref="E17:F17"/>
    <mergeCell ref="I17:J17"/>
    <mergeCell ref="L17:M17"/>
    <mergeCell ref="C18:D18"/>
  </mergeCells>
  <pageMargins left="0.7" right="0.7" top="0.75" bottom="0.75" header="0.3" footer="0.3"/>
  <ignoredErrors>
    <ignoredError sqref="Q10:Q18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5E9-D0FA-49AA-8339-FBA09EB9A091}">
  <dimension ref="A1:M15"/>
  <sheetViews>
    <sheetView workbookViewId="0">
      <selection activeCell="E18" sqref="E18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637</v>
      </c>
      <c r="F2" s="120" t="s">
        <v>638</v>
      </c>
      <c r="G2" s="120" t="s">
        <v>639</v>
      </c>
      <c r="H2" s="120" t="s">
        <v>640</v>
      </c>
      <c r="I2" s="200">
        <v>452702</v>
      </c>
      <c r="J2" s="120" t="s">
        <v>83</v>
      </c>
      <c r="K2" s="120" t="s">
        <v>84</v>
      </c>
      <c r="L2" s="120" t="s">
        <v>641</v>
      </c>
      <c r="M2" s="124">
        <f>+I2/1.19</f>
        <v>380421.84873949579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642</v>
      </c>
      <c r="F3" s="120" t="s">
        <v>643</v>
      </c>
      <c r="G3" s="120" t="s">
        <v>639</v>
      </c>
      <c r="H3" s="120" t="s">
        <v>640</v>
      </c>
      <c r="I3" s="200">
        <v>226351</v>
      </c>
      <c r="J3" s="120" t="s">
        <v>83</v>
      </c>
      <c r="K3" s="120" t="s">
        <v>84</v>
      </c>
      <c r="L3" s="120" t="s">
        <v>644</v>
      </c>
      <c r="M3" s="124">
        <f>+I3/1.19</f>
        <v>190210.9243697479</v>
      </c>
    </row>
    <row r="4" spans="1:13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645</v>
      </c>
      <c r="F4" s="120" t="s">
        <v>646</v>
      </c>
      <c r="G4" s="120" t="s">
        <v>639</v>
      </c>
      <c r="H4" s="120" t="s">
        <v>640</v>
      </c>
      <c r="I4" s="200">
        <v>565878</v>
      </c>
      <c r="J4" s="120" t="s">
        <v>83</v>
      </c>
      <c r="K4" s="120" t="s">
        <v>84</v>
      </c>
      <c r="L4" s="120" t="s">
        <v>647</v>
      </c>
      <c r="M4" s="124">
        <f>+I4/1.19</f>
        <v>475527.731092437</v>
      </c>
    </row>
    <row r="5" spans="1:13" x14ac:dyDescent="0.25">
      <c r="A5" s="121"/>
      <c r="B5"/>
      <c r="C5"/>
      <c r="D5"/>
      <c r="E5"/>
      <c r="F5"/>
      <c r="G5"/>
      <c r="H5"/>
      <c r="I5" s="214"/>
      <c r="J5"/>
      <c r="K5"/>
      <c r="L5"/>
      <c r="M5" s="215"/>
    </row>
    <row r="6" spans="1:13" x14ac:dyDescent="0.25">
      <c r="I6" s="123"/>
    </row>
    <row r="7" spans="1:13" x14ac:dyDescent="0.25">
      <c r="C7" s="93"/>
      <c r="D7" s="93"/>
      <c r="E7" s="93"/>
      <c r="F7" s="93"/>
      <c r="G7" s="93"/>
      <c r="H7" s="93"/>
    </row>
    <row r="8" spans="1:13" x14ac:dyDescent="0.25">
      <c r="C8" s="125" t="s">
        <v>600</v>
      </c>
      <c r="D8" s="93"/>
      <c r="E8" s="125"/>
      <c r="F8" s="93"/>
      <c r="G8" s="93"/>
      <c r="H8" s="93"/>
    </row>
    <row r="9" spans="1:13" x14ac:dyDescent="0.25">
      <c r="C9" s="125" t="s">
        <v>648</v>
      </c>
      <c r="D9" s="125"/>
      <c r="E9" s="93"/>
      <c r="F9" s="93"/>
      <c r="G9" s="93"/>
      <c r="H9" s="93"/>
    </row>
    <row r="10" spans="1:13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3" x14ac:dyDescent="0.25">
      <c r="C11" s="121">
        <v>0.1</v>
      </c>
      <c r="D11" s="127">
        <v>20687462</v>
      </c>
      <c r="E11" s="176" t="s">
        <v>649</v>
      </c>
      <c r="F11" s="129">
        <f>+M4</f>
        <v>475527.731092437</v>
      </c>
      <c r="G11" s="129">
        <f>+'CTA CORRIENTE'!H265</f>
        <v>475527.80000000005</v>
      </c>
      <c r="H11" s="130">
        <f>+G11-F11</f>
        <v>6.8907563050743192E-2</v>
      </c>
    </row>
    <row r="12" spans="1:13" x14ac:dyDescent="0.25">
      <c r="C12" s="121">
        <v>0.08</v>
      </c>
      <c r="D12" s="127">
        <v>20689016</v>
      </c>
      <c r="E12" s="176" t="str">
        <f>+E11</f>
        <v>F1160</v>
      </c>
      <c r="F12" s="129">
        <f>+M2</f>
        <v>380421.84873949579</v>
      </c>
      <c r="G12" s="129">
        <f>+'CTA CORRIENTE'!H266</f>
        <v>380422.24</v>
      </c>
      <c r="H12" s="130">
        <f>+G12-F12</f>
        <v>0.39126050419872627</v>
      </c>
    </row>
    <row r="13" spans="1:13" x14ac:dyDescent="0.25">
      <c r="C13" s="121">
        <v>0.04</v>
      </c>
      <c r="D13" s="127">
        <v>20688050</v>
      </c>
      <c r="E13" s="176" t="str">
        <f>+E12</f>
        <v>F1160</v>
      </c>
      <c r="F13" s="129">
        <f>+M3</f>
        <v>190210.9243697479</v>
      </c>
      <c r="G13" s="129">
        <f>+'CTA CORRIENTE'!H267</f>
        <v>190211.12</v>
      </c>
      <c r="H13" s="130">
        <f t="shared" ref="H13" si="0">+G13-F13</f>
        <v>0.19563025209936313</v>
      </c>
    </row>
    <row r="14" spans="1:13" x14ac:dyDescent="0.25">
      <c r="C14" s="133" t="s">
        <v>91</v>
      </c>
      <c r="D14" s="133"/>
      <c r="E14" s="133"/>
      <c r="F14" s="134">
        <f>+SUM(F11:F13)</f>
        <v>1046160.5042016807</v>
      </c>
      <c r="G14" s="134">
        <f>+SUM(G11:G13)</f>
        <v>1046161.16</v>
      </c>
      <c r="H14" s="134">
        <f>+SUM(H11:H13)</f>
        <v>0.65579831934883259</v>
      </c>
    </row>
    <row r="15" spans="1:13" x14ac:dyDescent="0.25">
      <c r="C15" s="133" t="s">
        <v>92</v>
      </c>
      <c r="D15" s="133"/>
      <c r="E15" s="133"/>
      <c r="F15" s="135"/>
      <c r="G15" s="134">
        <f>+F14-G14</f>
        <v>-0.65579831937793642</v>
      </c>
      <c r="H15" s="1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9862-F540-49F6-A04A-9DA09171E0E4}">
  <dimension ref="B1:N21"/>
  <sheetViews>
    <sheetView topLeftCell="A7" workbookViewId="0">
      <selection activeCell="B27" sqref="B27"/>
    </sheetView>
  </sheetViews>
  <sheetFormatPr baseColWidth="10" defaultRowHeight="15" x14ac:dyDescent="0.25"/>
  <sheetData>
    <row r="1" spans="2:14" x14ac:dyDescent="0.25">
      <c r="B1" s="2" t="s">
        <v>27</v>
      </c>
      <c r="E1" s="3"/>
      <c r="G1" s="4"/>
      <c r="H1" s="97"/>
      <c r="I1" s="5"/>
      <c r="J1" s="11">
        <f>+J2+J3</f>
        <v>29106321.859999999</v>
      </c>
      <c r="K1" s="5"/>
      <c r="L1" s="5"/>
      <c r="M1" s="199">
        <v>0</v>
      </c>
      <c r="N1" s="6"/>
    </row>
    <row r="2" spans="2:14" x14ac:dyDescent="0.25">
      <c r="B2" s="99" t="s">
        <v>1</v>
      </c>
      <c r="E2" s="3"/>
      <c r="G2" s="4"/>
      <c r="H2" s="5"/>
      <c r="J2" s="217">
        <v>2757825</v>
      </c>
      <c r="K2" s="218" t="s">
        <v>599</v>
      </c>
    </row>
    <row r="3" spans="2:14" x14ac:dyDescent="0.25">
      <c r="B3" s="10" t="s">
        <v>2</v>
      </c>
      <c r="E3" s="3"/>
      <c r="G3" s="4"/>
      <c r="H3" s="11">
        <f t="shared" ref="H3" si="0">+SUM(H5:H19)</f>
        <v>36313796</v>
      </c>
      <c r="I3" s="11">
        <f>-SUM(I5:I19)</f>
        <v>-6899621.2400000002</v>
      </c>
      <c r="J3" s="11">
        <f>+SUM(J5:J19)</f>
        <v>26348496.859999999</v>
      </c>
      <c r="L3" s="1">
        <v>21</v>
      </c>
      <c r="M3" s="1"/>
    </row>
    <row r="4" spans="2:14" x14ac:dyDescent="0.25">
      <c r="B4" s="12" t="s">
        <v>3</v>
      </c>
      <c r="C4" s="13" t="s">
        <v>4</v>
      </c>
      <c r="D4" s="13" t="s">
        <v>5</v>
      </c>
      <c r="E4" s="13" t="s">
        <v>6</v>
      </c>
      <c r="F4" s="14" t="s">
        <v>7</v>
      </c>
      <c r="G4" s="15" t="s">
        <v>8</v>
      </c>
      <c r="H4" s="16" t="s">
        <v>9</v>
      </c>
      <c r="I4" s="16" t="s">
        <v>10</v>
      </c>
      <c r="J4" s="17" t="s">
        <v>11</v>
      </c>
      <c r="K4" s="17" t="s">
        <v>12</v>
      </c>
      <c r="L4" s="18" t="s">
        <v>13</v>
      </c>
      <c r="M4" s="18" t="s">
        <v>14</v>
      </c>
      <c r="N4" s="18" t="s">
        <v>15</v>
      </c>
    </row>
    <row r="5" spans="2:14" x14ac:dyDescent="0.25">
      <c r="B5" s="21" t="s">
        <v>473</v>
      </c>
      <c r="C5" s="28">
        <v>20148053</v>
      </c>
      <c r="D5" s="21" t="s">
        <v>26</v>
      </c>
      <c r="E5" s="22">
        <v>45305</v>
      </c>
      <c r="F5" s="29">
        <v>0.1</v>
      </c>
      <c r="G5" s="23" t="s">
        <v>139</v>
      </c>
      <c r="H5" s="30">
        <v>1285200</v>
      </c>
      <c r="I5" s="25">
        <v>244188</v>
      </c>
      <c r="J5" s="25">
        <v>-1529388</v>
      </c>
      <c r="K5" s="167">
        <v>45307</v>
      </c>
      <c r="L5" s="26">
        <v>45326</v>
      </c>
      <c r="M5" s="26" t="s">
        <v>614</v>
      </c>
      <c r="N5" s="27"/>
    </row>
    <row r="6" spans="2:14" x14ac:dyDescent="0.25">
      <c r="B6" s="21" t="s">
        <v>473</v>
      </c>
      <c r="C6" s="28">
        <v>20150410</v>
      </c>
      <c r="D6" s="21" t="s">
        <v>26</v>
      </c>
      <c r="E6" s="22">
        <v>45305</v>
      </c>
      <c r="F6" s="29">
        <v>0.08</v>
      </c>
      <c r="G6" s="31" t="s">
        <v>139</v>
      </c>
      <c r="H6" s="32">
        <v>1028160</v>
      </c>
      <c r="I6" s="25">
        <v>195350.39999999999</v>
      </c>
      <c r="J6" s="25">
        <v>-1223510.3999999999</v>
      </c>
      <c r="K6" s="167">
        <v>45307</v>
      </c>
      <c r="L6" s="26">
        <v>45326</v>
      </c>
      <c r="M6" s="26" t="s">
        <v>614</v>
      </c>
      <c r="N6" s="27"/>
    </row>
    <row r="7" spans="2:14" x14ac:dyDescent="0.25">
      <c r="B7" s="33" t="s">
        <v>473</v>
      </c>
      <c r="C7" s="34">
        <v>20149648</v>
      </c>
      <c r="D7" s="33" t="s">
        <v>26</v>
      </c>
      <c r="E7" s="35">
        <v>45305</v>
      </c>
      <c r="F7" s="36">
        <v>0.04</v>
      </c>
      <c r="G7" s="37" t="s">
        <v>139</v>
      </c>
      <c r="H7" s="38">
        <v>514080</v>
      </c>
      <c r="I7" s="39">
        <v>97675.199999999997</v>
      </c>
      <c r="J7" s="39">
        <v>-611755.19999999995</v>
      </c>
      <c r="K7" s="168">
        <v>45307</v>
      </c>
      <c r="L7" s="40">
        <v>45326</v>
      </c>
      <c r="M7" s="40" t="s">
        <v>614</v>
      </c>
      <c r="N7" s="41"/>
    </row>
    <row r="8" spans="2:14" x14ac:dyDescent="0.25">
      <c r="B8" s="21" t="s">
        <v>396</v>
      </c>
      <c r="C8" s="28">
        <v>20148053</v>
      </c>
      <c r="D8" s="21" t="s">
        <v>26</v>
      </c>
      <c r="E8" s="22">
        <v>45305</v>
      </c>
      <c r="F8" s="29">
        <v>0.1</v>
      </c>
      <c r="G8" s="23" t="s">
        <v>139</v>
      </c>
      <c r="H8" s="30">
        <v>618750</v>
      </c>
      <c r="I8" s="25">
        <v>117562.5</v>
      </c>
      <c r="J8" s="25">
        <v>-736312.5</v>
      </c>
      <c r="K8" s="167">
        <v>45307</v>
      </c>
      <c r="L8" s="26">
        <v>45326</v>
      </c>
      <c r="M8" s="26" t="s">
        <v>614</v>
      </c>
      <c r="N8" s="27"/>
    </row>
    <row r="9" spans="2:14" x14ac:dyDescent="0.25">
      <c r="B9" s="21" t="s">
        <v>396</v>
      </c>
      <c r="C9" s="28">
        <v>20150410</v>
      </c>
      <c r="D9" s="21" t="s">
        <v>26</v>
      </c>
      <c r="E9" s="22">
        <v>45305</v>
      </c>
      <c r="F9" s="29">
        <v>0.08</v>
      </c>
      <c r="G9" s="31" t="s">
        <v>139</v>
      </c>
      <c r="H9" s="32">
        <v>495000</v>
      </c>
      <c r="I9" s="25">
        <v>94050</v>
      </c>
      <c r="J9" s="25">
        <v>-589050</v>
      </c>
      <c r="K9" s="167">
        <v>45307</v>
      </c>
      <c r="L9" s="26">
        <v>45326</v>
      </c>
      <c r="M9" s="26" t="s">
        <v>614</v>
      </c>
      <c r="N9" s="27"/>
    </row>
    <row r="10" spans="2:14" x14ac:dyDescent="0.25">
      <c r="B10" s="33" t="s">
        <v>396</v>
      </c>
      <c r="C10" s="34">
        <v>20149648</v>
      </c>
      <c r="D10" s="33" t="s">
        <v>26</v>
      </c>
      <c r="E10" s="35">
        <v>45305</v>
      </c>
      <c r="F10" s="36">
        <v>0.04</v>
      </c>
      <c r="G10" s="37" t="s">
        <v>139</v>
      </c>
      <c r="H10" s="38">
        <v>247500</v>
      </c>
      <c r="I10" s="39">
        <v>47025</v>
      </c>
      <c r="J10" s="39">
        <v>-294525</v>
      </c>
      <c r="K10" s="168">
        <v>45307</v>
      </c>
      <c r="L10" s="40">
        <v>45326</v>
      </c>
      <c r="M10" s="40" t="s">
        <v>614</v>
      </c>
      <c r="N10" s="41"/>
    </row>
    <row r="11" spans="2:14" x14ac:dyDescent="0.25">
      <c r="B11" s="21" t="s">
        <v>473</v>
      </c>
      <c r="C11" s="28">
        <v>20148053</v>
      </c>
      <c r="D11" s="21" t="s">
        <v>26</v>
      </c>
      <c r="E11" s="22">
        <v>45305</v>
      </c>
      <c r="F11" s="29">
        <v>0.1</v>
      </c>
      <c r="G11" s="23" t="s">
        <v>139</v>
      </c>
      <c r="H11" s="30">
        <v>1285200</v>
      </c>
      <c r="I11" s="25">
        <v>244188</v>
      </c>
      <c r="J11" s="25">
        <v>-1529388</v>
      </c>
      <c r="K11" s="167">
        <v>45307</v>
      </c>
      <c r="L11" s="26">
        <v>45326</v>
      </c>
      <c r="M11" s="26" t="s">
        <v>614</v>
      </c>
      <c r="N11" s="27"/>
    </row>
    <row r="12" spans="2:14" x14ac:dyDescent="0.25">
      <c r="B12" s="21" t="s">
        <v>473</v>
      </c>
      <c r="C12" s="28">
        <v>20150410</v>
      </c>
      <c r="D12" s="21" t="s">
        <v>26</v>
      </c>
      <c r="E12" s="22">
        <v>45305</v>
      </c>
      <c r="F12" s="29">
        <v>0.08</v>
      </c>
      <c r="G12" s="31" t="s">
        <v>139</v>
      </c>
      <c r="H12" s="32">
        <v>1028160</v>
      </c>
      <c r="I12" s="25">
        <v>195350.39999999999</v>
      </c>
      <c r="J12" s="25">
        <v>-1223510.3999999999</v>
      </c>
      <c r="K12" s="167">
        <v>45307</v>
      </c>
      <c r="L12" s="26">
        <v>45326</v>
      </c>
      <c r="M12" s="26" t="s">
        <v>614</v>
      </c>
      <c r="N12" s="27"/>
    </row>
    <row r="13" spans="2:14" x14ac:dyDescent="0.25">
      <c r="B13" s="33" t="s">
        <v>473</v>
      </c>
      <c r="C13" s="34">
        <v>20149648</v>
      </c>
      <c r="D13" s="33" t="s">
        <v>26</v>
      </c>
      <c r="E13" s="35">
        <v>45305</v>
      </c>
      <c r="F13" s="36">
        <v>0.04</v>
      </c>
      <c r="G13" s="37" t="s">
        <v>139</v>
      </c>
      <c r="H13" s="38">
        <v>514080</v>
      </c>
      <c r="I13" s="39">
        <v>97675.199999999997</v>
      </c>
      <c r="J13" s="39">
        <v>-611755.19999999995</v>
      </c>
      <c r="K13" s="168">
        <v>45307</v>
      </c>
      <c r="L13" s="40">
        <v>45326</v>
      </c>
      <c r="M13" s="40" t="s">
        <v>614</v>
      </c>
      <c r="N13" s="41"/>
    </row>
    <row r="14" spans="2:14" x14ac:dyDescent="0.25">
      <c r="B14" s="146" t="s">
        <v>396</v>
      </c>
      <c r="C14" s="147">
        <v>20165021</v>
      </c>
      <c r="D14" s="146" t="s">
        <v>26</v>
      </c>
      <c r="E14" s="148">
        <v>45325</v>
      </c>
      <c r="F14" s="186">
        <v>1E-3</v>
      </c>
      <c r="G14" s="149" t="s">
        <v>139</v>
      </c>
      <c r="H14" s="150">
        <v>19040</v>
      </c>
      <c r="I14" s="151">
        <v>3617.6</v>
      </c>
      <c r="J14" s="151">
        <v>-22657.599999999999</v>
      </c>
      <c r="K14" s="166">
        <v>45334</v>
      </c>
      <c r="L14" s="152">
        <v>45355</v>
      </c>
      <c r="M14" s="40" t="s">
        <v>614</v>
      </c>
      <c r="N14" s="153"/>
    </row>
    <row r="15" spans="2:14" x14ac:dyDescent="0.25">
      <c r="B15" s="146" t="s">
        <v>396</v>
      </c>
      <c r="C15" s="147">
        <v>20166508</v>
      </c>
      <c r="D15" s="146" t="s">
        <v>26</v>
      </c>
      <c r="E15" s="148">
        <v>45325</v>
      </c>
      <c r="F15" s="186">
        <v>1E-3</v>
      </c>
      <c r="G15" s="149" t="s">
        <v>139</v>
      </c>
      <c r="H15" s="150">
        <v>50931</v>
      </c>
      <c r="I15" s="151">
        <v>9676.89</v>
      </c>
      <c r="J15" s="151">
        <v>-60607.89</v>
      </c>
      <c r="K15" s="166">
        <v>45334</v>
      </c>
      <c r="L15" s="152">
        <v>45355</v>
      </c>
      <c r="M15" s="40" t="s">
        <v>614</v>
      </c>
      <c r="N15" s="153"/>
    </row>
    <row r="16" spans="2:14" x14ac:dyDescent="0.25">
      <c r="B16" s="21" t="s">
        <v>24</v>
      </c>
      <c r="C16" s="28">
        <v>1129</v>
      </c>
      <c r="D16" s="21" t="s">
        <v>25</v>
      </c>
      <c r="E16" s="22">
        <v>45358</v>
      </c>
      <c r="F16" s="22"/>
      <c r="G16" s="23" t="s">
        <v>139</v>
      </c>
      <c r="H16" s="24">
        <v>2568850</v>
      </c>
      <c r="I16" s="25">
        <v>488081.5</v>
      </c>
      <c r="J16" s="25">
        <v>3056931.5</v>
      </c>
      <c r="K16" s="167">
        <v>45362</v>
      </c>
      <c r="L16" s="26">
        <v>45379</v>
      </c>
      <c r="M16" s="26" t="s">
        <v>614</v>
      </c>
      <c r="N16" s="27"/>
    </row>
    <row r="17" spans="2:14" x14ac:dyDescent="0.25">
      <c r="B17" s="21" t="s">
        <v>24</v>
      </c>
      <c r="C17" s="28">
        <v>1133</v>
      </c>
      <c r="D17" s="21" t="s">
        <v>25</v>
      </c>
      <c r="E17" s="22">
        <v>45362</v>
      </c>
      <c r="F17" s="22"/>
      <c r="G17" s="23" t="s">
        <v>139</v>
      </c>
      <c r="H17" s="24">
        <v>10490040</v>
      </c>
      <c r="I17" s="25">
        <v>1993107.6</v>
      </c>
      <c r="J17" s="25">
        <v>12483147.6</v>
      </c>
      <c r="K17" s="167">
        <v>45369</v>
      </c>
      <c r="L17" s="26">
        <v>45383</v>
      </c>
      <c r="M17" s="26" t="s">
        <v>614</v>
      </c>
      <c r="N17" s="27"/>
    </row>
    <row r="18" spans="2:14" x14ac:dyDescent="0.25">
      <c r="B18" s="21" t="s">
        <v>24</v>
      </c>
      <c r="C18" s="28">
        <v>1134</v>
      </c>
      <c r="D18" s="21" t="s">
        <v>25</v>
      </c>
      <c r="E18" s="22">
        <v>45365</v>
      </c>
      <c r="F18" s="22"/>
      <c r="G18" s="23" t="s">
        <v>139</v>
      </c>
      <c r="H18" s="24">
        <v>18486305</v>
      </c>
      <c r="I18" s="25">
        <v>3512397.95</v>
      </c>
      <c r="J18" s="25">
        <v>21998702.949999999</v>
      </c>
      <c r="K18" s="167">
        <v>45369</v>
      </c>
      <c r="L18" s="26">
        <v>45386</v>
      </c>
      <c r="M18" s="26" t="s">
        <v>614</v>
      </c>
      <c r="N18" s="27"/>
    </row>
    <row r="19" spans="2:14" x14ac:dyDescent="0.25">
      <c r="B19" s="221" t="s">
        <v>24</v>
      </c>
      <c r="C19" s="222" t="s">
        <v>618</v>
      </c>
      <c r="D19" s="223" t="s">
        <v>631</v>
      </c>
      <c r="E19" s="224"/>
      <c r="F19" s="225"/>
      <c r="G19" s="226" t="s">
        <v>139</v>
      </c>
      <c r="H19" s="231">
        <v>-2317500</v>
      </c>
      <c r="I19" s="228">
        <v>-440325</v>
      </c>
      <c r="J19" s="228">
        <v>-2757825</v>
      </c>
      <c r="K19" s="229"/>
      <c r="L19" s="227">
        <v>0</v>
      </c>
      <c r="M19" s="227" t="s">
        <v>614</v>
      </c>
      <c r="N19" s="227" t="s">
        <v>617</v>
      </c>
    </row>
    <row r="21" spans="2:14" x14ac:dyDescent="0.25">
      <c r="B21" s="21" t="s">
        <v>630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1856-DDC3-4240-8DD8-E0619F9111D8}">
  <dimension ref="A1:M16"/>
  <sheetViews>
    <sheetView workbookViewId="0">
      <selection activeCell="C10" sqref="C10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>
        <v>249042179</v>
      </c>
      <c r="F2" s="120" t="s">
        <v>623</v>
      </c>
      <c r="G2" s="120" t="s">
        <v>620</v>
      </c>
      <c r="H2" s="120" t="s">
        <v>621</v>
      </c>
      <c r="I2" s="122">
        <v>1210007</v>
      </c>
      <c r="J2" s="120" t="s">
        <v>83</v>
      </c>
      <c r="K2" s="120" t="s">
        <v>84</v>
      </c>
      <c r="L2" s="120" t="s">
        <v>624</v>
      </c>
      <c r="M2" s="124">
        <f t="shared" ref="M2" si="0">+I2/1.19</f>
        <v>1016812.6050420168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>
        <v>249041465</v>
      </c>
      <c r="F3" s="120" t="s">
        <v>619</v>
      </c>
      <c r="G3" s="120" t="s">
        <v>620</v>
      </c>
      <c r="H3" s="120" t="s">
        <v>621</v>
      </c>
      <c r="I3" s="122">
        <v>605004</v>
      </c>
      <c r="J3" s="120" t="s">
        <v>83</v>
      </c>
      <c r="K3" s="120" t="s">
        <v>84</v>
      </c>
      <c r="L3" s="120" t="s">
        <v>622</v>
      </c>
      <c r="M3" s="124">
        <f>+I3/1.19</f>
        <v>508406.72268907563</v>
      </c>
    </row>
    <row r="4" spans="1:13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>
        <v>249040890</v>
      </c>
      <c r="F4" s="120" t="s">
        <v>625</v>
      </c>
      <c r="G4" s="120" t="s">
        <v>620</v>
      </c>
      <c r="H4" s="120" t="s">
        <v>621</v>
      </c>
      <c r="I4" s="122">
        <v>1512510</v>
      </c>
      <c r="J4" s="120" t="s">
        <v>83</v>
      </c>
      <c r="K4" s="120" t="s">
        <v>84</v>
      </c>
      <c r="L4" s="120" t="s">
        <v>626</v>
      </c>
      <c r="M4" s="124">
        <f>+I4/1.19</f>
        <v>1271016.8067226892</v>
      </c>
    </row>
    <row r="5" spans="1:13" x14ac:dyDescent="0.25">
      <c r="A5" s="121">
        <v>1E-3</v>
      </c>
      <c r="B5" s="120" t="s">
        <v>80</v>
      </c>
      <c r="C5" s="120" t="s">
        <v>81</v>
      </c>
      <c r="D5" s="120" t="s">
        <v>82</v>
      </c>
      <c r="E5" s="120">
        <v>249043980</v>
      </c>
      <c r="F5" s="120" t="s">
        <v>632</v>
      </c>
      <c r="G5" s="120" t="s">
        <v>633</v>
      </c>
      <c r="H5" s="120" t="s">
        <v>621</v>
      </c>
      <c r="I5" s="122">
        <v>78110</v>
      </c>
      <c r="J5" s="120" t="s">
        <v>83</v>
      </c>
      <c r="K5" s="120" t="s">
        <v>84</v>
      </c>
      <c r="L5" s="120" t="s">
        <v>634</v>
      </c>
      <c r="M5" s="124">
        <f>+I5/1.19</f>
        <v>65638.655462184877</v>
      </c>
    </row>
    <row r="6" spans="1:13" x14ac:dyDescent="0.25">
      <c r="I6" s="123"/>
    </row>
    <row r="7" spans="1:13" x14ac:dyDescent="0.25">
      <c r="C7" s="93"/>
      <c r="D7" s="93"/>
      <c r="E7" s="93"/>
      <c r="F7" s="93"/>
      <c r="G7" s="93"/>
      <c r="H7" s="93"/>
    </row>
    <row r="8" spans="1:13" x14ac:dyDescent="0.25">
      <c r="C8" s="125" t="s">
        <v>600</v>
      </c>
      <c r="D8" s="93"/>
      <c r="E8" s="125"/>
      <c r="F8" s="93"/>
      <c r="G8" s="93"/>
      <c r="H8" s="93"/>
    </row>
    <row r="9" spans="1:13" x14ac:dyDescent="0.25">
      <c r="C9" s="125" t="s">
        <v>627</v>
      </c>
      <c r="D9" s="125"/>
      <c r="E9" s="93"/>
      <c r="F9" s="93"/>
      <c r="G9" s="93"/>
      <c r="H9" s="93"/>
    </row>
    <row r="10" spans="1:13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3" x14ac:dyDescent="0.25">
      <c r="C11" s="121">
        <v>0.1</v>
      </c>
      <c r="D11" s="127">
        <v>20682100</v>
      </c>
      <c r="E11" s="254" t="s">
        <v>628</v>
      </c>
      <c r="F11" s="129">
        <f>+M4</f>
        <v>1271016.8067226892</v>
      </c>
      <c r="G11" s="129">
        <f>+'CTA CORRIENTE'!H251+'CTA CORRIENTE'!H255+'CTA CORRIENTE'!H261</f>
        <v>1271016.6000000001</v>
      </c>
      <c r="H11" s="130">
        <f>+G11-F11</f>
        <v>-0.20672268909402192</v>
      </c>
    </row>
    <row r="12" spans="1:13" x14ac:dyDescent="0.25">
      <c r="C12" s="121">
        <v>0.08</v>
      </c>
      <c r="D12" s="127">
        <v>20683389</v>
      </c>
      <c r="E12" s="255"/>
      <c r="F12" s="129">
        <f>+M2</f>
        <v>1016812.6050420168</v>
      </c>
      <c r="G12" s="129">
        <f>+'CTA CORRIENTE'!H252+'CTA CORRIENTE'!H256+'CTA CORRIENTE'!H262</f>
        <v>1016813.28</v>
      </c>
      <c r="H12" s="130">
        <f>+G12-F12</f>
        <v>0.67495798319578171</v>
      </c>
    </row>
    <row r="13" spans="1:13" x14ac:dyDescent="0.25">
      <c r="C13" s="121">
        <v>0.04</v>
      </c>
      <c r="D13" s="127">
        <v>20682675</v>
      </c>
      <c r="E13" s="256"/>
      <c r="F13" s="129">
        <f>+M3</f>
        <v>508406.72268907563</v>
      </c>
      <c r="G13" s="129">
        <f>+'CTA CORRIENTE'!H253+'CTA CORRIENTE'!H257+'CTA CORRIENTE'!H263</f>
        <v>508406.64</v>
      </c>
      <c r="H13" s="130">
        <f t="shared" ref="H13:H14" si="1">+G13-F13</f>
        <v>-8.2689075614325702E-2</v>
      </c>
    </row>
    <row r="14" spans="1:13" x14ac:dyDescent="0.25">
      <c r="C14" s="121">
        <v>1E-3</v>
      </c>
      <c r="D14" s="127">
        <v>249043980</v>
      </c>
      <c r="E14" s="235">
        <v>1E-3</v>
      </c>
      <c r="F14" s="129">
        <f>+M5</f>
        <v>65638.655462184877</v>
      </c>
      <c r="G14" s="129">
        <f>+'CTA CORRIENTE'!H268</f>
        <v>65639</v>
      </c>
      <c r="H14" s="130">
        <f t="shared" si="1"/>
        <v>0.34453781512274873</v>
      </c>
      <c r="I14" s="46" t="s">
        <v>635</v>
      </c>
    </row>
    <row r="15" spans="1:13" x14ac:dyDescent="0.25">
      <c r="C15" s="133" t="s">
        <v>91</v>
      </c>
      <c r="D15" s="133"/>
      <c r="E15" s="133"/>
      <c r="F15" s="134">
        <f>+SUM(F11:F13)</f>
        <v>2796236.1344537819</v>
      </c>
      <c r="G15" s="134">
        <f>+SUM(G11:G13)</f>
        <v>2796236.52</v>
      </c>
      <c r="H15" s="134">
        <f>+SUM(H11:H13)</f>
        <v>0.38554621848743409</v>
      </c>
    </row>
    <row r="16" spans="1:13" x14ac:dyDescent="0.25">
      <c r="C16" s="133" t="s">
        <v>92</v>
      </c>
      <c r="D16" s="133"/>
      <c r="E16" s="133"/>
      <c r="F16" s="135"/>
      <c r="G16" s="134">
        <f>+F15-G15</f>
        <v>-0.38554621813818812</v>
      </c>
      <c r="H16" s="135"/>
    </row>
  </sheetData>
  <mergeCells count="1">
    <mergeCell ref="E11:E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CC6C-80CD-4A48-A578-C4983DF1B751}">
  <dimension ref="A1:M15"/>
  <sheetViews>
    <sheetView workbookViewId="0">
      <selection activeCell="C8" sqref="C8"/>
    </sheetView>
  </sheetViews>
  <sheetFormatPr baseColWidth="10" defaultRowHeight="15" x14ac:dyDescent="0.25"/>
  <cols>
    <col min="1" max="1" width="5.140625" style="93" bestFit="1" customWidth="1"/>
    <col min="2" max="2" width="11.42578125" style="46"/>
    <col min="3" max="3" width="30.7109375" style="46" bestFit="1" customWidth="1"/>
    <col min="4" max="4" width="11.42578125" style="46"/>
    <col min="5" max="5" width="14.7109375" style="46" bestFit="1" customWidth="1"/>
    <col min="6" max="6" width="16.85546875" style="46" bestFit="1" customWidth="1"/>
    <col min="7" max="8" width="15.7109375" style="46" bestFit="1" customWidth="1"/>
    <col min="9" max="16384" width="11.42578125" style="46"/>
  </cols>
  <sheetData>
    <row r="1" spans="1:13" x14ac:dyDescent="0.25">
      <c r="B1" s="178" t="s">
        <v>72</v>
      </c>
      <c r="C1" s="178" t="s">
        <v>73</v>
      </c>
      <c r="D1" s="178" t="s">
        <v>54</v>
      </c>
      <c r="E1" s="178" t="s">
        <v>74</v>
      </c>
      <c r="F1" s="178" t="s">
        <v>75</v>
      </c>
      <c r="G1" s="178" t="s">
        <v>6</v>
      </c>
      <c r="H1" s="178" t="s">
        <v>56</v>
      </c>
      <c r="I1" s="178" t="s">
        <v>76</v>
      </c>
      <c r="J1" s="178" t="s">
        <v>78</v>
      </c>
      <c r="K1" s="178" t="s">
        <v>79</v>
      </c>
      <c r="L1" s="178" t="s">
        <v>221</v>
      </c>
      <c r="M1" s="47" t="s">
        <v>77</v>
      </c>
    </row>
    <row r="2" spans="1:13" x14ac:dyDescent="0.25">
      <c r="A2" s="121">
        <v>0.08</v>
      </c>
      <c r="B2" s="120" t="s">
        <v>80</v>
      </c>
      <c r="C2" s="120" t="s">
        <v>81</v>
      </c>
      <c r="D2" s="120" t="s">
        <v>82</v>
      </c>
      <c r="E2" s="120" t="s">
        <v>601</v>
      </c>
      <c r="F2" s="120" t="s">
        <v>602</v>
      </c>
      <c r="G2" s="120" t="s">
        <v>603</v>
      </c>
      <c r="H2" s="120" t="s">
        <v>604</v>
      </c>
      <c r="I2" s="122">
        <v>2035707</v>
      </c>
      <c r="J2" s="120" t="s">
        <v>83</v>
      </c>
      <c r="K2" s="120" t="s">
        <v>84</v>
      </c>
      <c r="L2" s="120" t="s">
        <v>605</v>
      </c>
      <c r="M2" s="124">
        <f t="shared" ref="M2" si="0">+I2/1.19</f>
        <v>1710678.1512605043</v>
      </c>
    </row>
    <row r="3" spans="1:13" x14ac:dyDescent="0.25">
      <c r="A3" s="121">
        <v>0.04</v>
      </c>
      <c r="B3" s="120" t="s">
        <v>80</v>
      </c>
      <c r="C3" s="120" t="s">
        <v>81</v>
      </c>
      <c r="D3" s="120" t="s">
        <v>82</v>
      </c>
      <c r="E3" s="120" t="s">
        <v>606</v>
      </c>
      <c r="F3" s="120" t="s">
        <v>607</v>
      </c>
      <c r="G3" s="120" t="s">
        <v>603</v>
      </c>
      <c r="H3" s="120" t="s">
        <v>604</v>
      </c>
      <c r="I3" s="122">
        <v>1017853</v>
      </c>
      <c r="J3" s="120" t="s">
        <v>83</v>
      </c>
      <c r="K3" s="120" t="s">
        <v>84</v>
      </c>
      <c r="L3" s="120" t="s">
        <v>608</v>
      </c>
      <c r="M3" s="124">
        <f>+I3/1.19</f>
        <v>855338.65546218492</v>
      </c>
    </row>
    <row r="4" spans="1:13" x14ac:dyDescent="0.25">
      <c r="A4" s="121">
        <v>0.1</v>
      </c>
      <c r="B4" s="120" t="s">
        <v>80</v>
      </c>
      <c r="C4" s="120" t="s">
        <v>81</v>
      </c>
      <c r="D4" s="120" t="s">
        <v>82</v>
      </c>
      <c r="E4" s="120" t="s">
        <v>609</v>
      </c>
      <c r="F4" s="120" t="s">
        <v>610</v>
      </c>
      <c r="G4" s="120" t="s">
        <v>603</v>
      </c>
      <c r="H4" s="120" t="s">
        <v>604</v>
      </c>
      <c r="I4" s="122">
        <v>2544633</v>
      </c>
      <c r="J4" s="120" t="s">
        <v>83</v>
      </c>
      <c r="K4" s="120" t="s">
        <v>84</v>
      </c>
      <c r="L4" s="120" t="s">
        <v>611</v>
      </c>
      <c r="M4" s="124">
        <f>+I4/1.19</f>
        <v>2138347.0588235296</v>
      </c>
    </row>
    <row r="5" spans="1:13" x14ac:dyDescent="0.25">
      <c r="A5" s="121"/>
      <c r="B5"/>
      <c r="C5"/>
      <c r="D5"/>
      <c r="E5"/>
      <c r="F5"/>
      <c r="G5"/>
      <c r="H5"/>
      <c r="I5" s="214"/>
      <c r="J5"/>
      <c r="K5"/>
      <c r="L5"/>
      <c r="M5" s="215"/>
    </row>
    <row r="6" spans="1:13" x14ac:dyDescent="0.25">
      <c r="I6" s="123"/>
    </row>
    <row r="7" spans="1:13" x14ac:dyDescent="0.25">
      <c r="C7" s="93"/>
      <c r="D7" s="93"/>
      <c r="E7" s="93"/>
      <c r="F7" s="93"/>
      <c r="G7" s="93"/>
      <c r="H7" s="93"/>
    </row>
    <row r="8" spans="1:13" x14ac:dyDescent="0.25">
      <c r="C8" s="125" t="s">
        <v>600</v>
      </c>
      <c r="D8" s="93"/>
      <c r="E8" s="125"/>
      <c r="F8" s="93"/>
      <c r="G8" s="93"/>
      <c r="H8" s="93"/>
    </row>
    <row r="9" spans="1:13" x14ac:dyDescent="0.25">
      <c r="C9" s="125" t="s">
        <v>612</v>
      </c>
      <c r="D9" s="125"/>
      <c r="E9" s="93"/>
      <c r="F9" s="93"/>
      <c r="G9" s="93"/>
      <c r="H9" s="93"/>
    </row>
    <row r="10" spans="1:13" x14ac:dyDescent="0.25">
      <c r="C10" s="126" t="s">
        <v>85</v>
      </c>
      <c r="D10" s="126" t="s">
        <v>86</v>
      </c>
      <c r="E10" s="126" t="s">
        <v>87</v>
      </c>
      <c r="F10" s="126" t="s">
        <v>88</v>
      </c>
      <c r="G10" s="126" t="s">
        <v>89</v>
      </c>
      <c r="H10" s="126" t="s">
        <v>90</v>
      </c>
    </row>
    <row r="11" spans="1:13" x14ac:dyDescent="0.25">
      <c r="C11" s="121">
        <v>0.1</v>
      </c>
      <c r="D11" s="127">
        <v>20675834</v>
      </c>
      <c r="E11" s="176" t="s">
        <v>613</v>
      </c>
      <c r="F11" s="129">
        <f>+M4</f>
        <v>2138347.0588235296</v>
      </c>
      <c r="G11" s="129">
        <f>+'CTA CORRIENTE'!H241+'CTA CORRIENTE'!H245</f>
        <v>2138347.9</v>
      </c>
      <c r="H11" s="130">
        <f>+G11-F11</f>
        <v>0.84117647027596831</v>
      </c>
    </row>
    <row r="12" spans="1:13" x14ac:dyDescent="0.25">
      <c r="C12" s="121">
        <v>0.08</v>
      </c>
      <c r="D12" s="127">
        <v>20677236</v>
      </c>
      <c r="E12" s="176" t="s">
        <v>613</v>
      </c>
      <c r="F12" s="129">
        <f>+M2</f>
        <v>1710678.1512605043</v>
      </c>
      <c r="G12" s="129">
        <f>+'CTA CORRIENTE'!H242+'CTA CORRIENTE'!H246</f>
        <v>1710678.3199999998</v>
      </c>
      <c r="H12" s="130">
        <f>+G12-F12</f>
        <v>0.16873949556611478</v>
      </c>
    </row>
    <row r="13" spans="1:13" x14ac:dyDescent="0.25">
      <c r="C13" s="121">
        <v>0.04</v>
      </c>
      <c r="D13" s="127">
        <v>20676530</v>
      </c>
      <c r="E13" s="176" t="s">
        <v>613</v>
      </c>
      <c r="F13" s="129">
        <f>+M3</f>
        <v>855338.65546218492</v>
      </c>
      <c r="G13" s="129">
        <f>+'CTA CORRIENTE'!H243+'CTA CORRIENTE'!H247</f>
        <v>855339.15999999992</v>
      </c>
      <c r="H13" s="130">
        <f t="shared" ref="H13" si="1">+G13-F13</f>
        <v>0.50453781499527395</v>
      </c>
    </row>
    <row r="14" spans="1:13" x14ac:dyDescent="0.25">
      <c r="C14" s="133" t="s">
        <v>91</v>
      </c>
      <c r="D14" s="133"/>
      <c r="E14" s="133"/>
      <c r="F14" s="134">
        <f>+SUM(F11:F13)</f>
        <v>4704363.8655462191</v>
      </c>
      <c r="G14" s="134">
        <f>+SUM(G11:G13)</f>
        <v>4704365.38</v>
      </c>
      <c r="H14" s="134">
        <f>+SUM(H11:H13)</f>
        <v>1.514453780837357</v>
      </c>
    </row>
    <row r="15" spans="1:13" x14ac:dyDescent="0.25">
      <c r="C15" s="133" t="s">
        <v>92</v>
      </c>
      <c r="D15" s="133"/>
      <c r="E15" s="133"/>
      <c r="F15" s="135"/>
      <c r="G15" s="134">
        <f>+F14-G14</f>
        <v>-1.514453780837357</v>
      </c>
      <c r="H15" s="1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Pagos</vt:lpstr>
      <vt:lpstr>RESUMEN CONFIRMING</vt:lpstr>
      <vt:lpstr>Hoja1</vt:lpstr>
      <vt:lpstr>CTA CORRIENTE</vt:lpstr>
      <vt:lpstr>Confirming 2_05.10</vt:lpstr>
      <vt:lpstr>Rev.Acuerdo_09-04-24</vt:lpstr>
      <vt:lpstr>Nómina de pago 05.04.24</vt:lpstr>
      <vt:lpstr>Rev.Acuerdo_02-04-24</vt:lpstr>
      <vt:lpstr>Rev.Acuerdo_26-03-24</vt:lpstr>
      <vt:lpstr>Rev.Acuerdo_18.03.24</vt:lpstr>
      <vt:lpstr>Rev.Acuerdo_12.03.24</vt:lpstr>
      <vt:lpstr>Rev.Acuerdo_16-01-24</vt:lpstr>
      <vt:lpstr>Confirming 10_10-01</vt:lpstr>
      <vt:lpstr>Rev.Acuerdo _09-01-24 (2)</vt:lpstr>
      <vt:lpstr>Rev.Acuerdo _09-01-24</vt:lpstr>
      <vt:lpstr>Confirming 9_04-01</vt:lpstr>
      <vt:lpstr>Rev.Acuerdo _26-12-23</vt:lpstr>
      <vt:lpstr>Rev.Acuerdo _19-12-23</vt:lpstr>
      <vt:lpstr>Rev.Acuerdo _12-12-23</vt:lpstr>
      <vt:lpstr>Confirming 8_06-12</vt:lpstr>
      <vt:lpstr>Rev.Acuerdo _04-12-23</vt:lpstr>
      <vt:lpstr>Confirming 7_29-11</vt:lpstr>
      <vt:lpstr>Rev.Acuerdo _28-11</vt:lpstr>
      <vt:lpstr>Confirming 6_24.11</vt:lpstr>
      <vt:lpstr>Rev.Acuerdo _21-11</vt:lpstr>
      <vt:lpstr>Confirming 5_15.11</vt:lpstr>
      <vt:lpstr>Rev.Acuerdo _14-11</vt:lpstr>
      <vt:lpstr>Rev.Acuerdo _07-11</vt:lpstr>
      <vt:lpstr>Rev.Acuerdo _02-11</vt:lpstr>
      <vt:lpstr>Rev.Acuerdo _31-10</vt:lpstr>
      <vt:lpstr>Rev.Acuerdo _24-10_2</vt:lpstr>
      <vt:lpstr>Rev.Acuerdo _24-10_1</vt:lpstr>
      <vt:lpstr>Rev.Acuerdo _17.10</vt:lpstr>
      <vt:lpstr>Rev.Acuerdo _10.10</vt:lpstr>
      <vt:lpstr>Confirming 4_18.10</vt:lpstr>
      <vt:lpstr>Confirming 3_11.10</vt:lpstr>
      <vt:lpstr>Confirming 1_28.09</vt:lpstr>
      <vt:lpstr>Rev.Acuerdo _28.09</vt:lpstr>
      <vt:lpstr>Formato Nota de Credito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Los Angeles Perez</dc:creator>
  <cp:lastModifiedBy>Maria de Los Angeles Perez</cp:lastModifiedBy>
  <cp:lastPrinted>2023-10-05T14:38:02Z</cp:lastPrinted>
  <dcterms:created xsi:type="dcterms:W3CDTF">2023-09-28T14:03:45Z</dcterms:created>
  <dcterms:modified xsi:type="dcterms:W3CDTF">2024-10-04T17:24:41Z</dcterms:modified>
</cp:coreProperties>
</file>