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pycode\NEC-2015\"/>
    </mc:Choice>
  </mc:AlternateContent>
  <xr:revisionPtr revIDLastSave="0" documentId="8_{97ED0545-D6C4-4908-A673-CD9B29F9CA95}" xr6:coauthVersionLast="47" xr6:coauthVersionMax="47" xr10:uidLastSave="{00000000-0000-0000-0000-000000000000}"/>
  <bookViews>
    <workbookView xWindow="-108" yWindow="-108" windowWidth="23256" windowHeight="12456" activeTab="1" xr2:uid="{E5104691-0C4F-4D90-8764-28804B98ED6A}"/>
  </bookViews>
  <sheets>
    <sheet name="Resumen" sheetId="1" r:id="rId1"/>
    <sheet name="Datos NEC - Espectro" sheetId="2" r:id="rId2"/>
    <sheet name="Factores R" sheetId="5" r:id="rId3"/>
  </sheets>
  <definedNames>
    <definedName name="Categ">'Datos NEC - Espectro'!$E$32:$E$34</definedName>
    <definedName name="Ct">'Datos NEC - Espectro'!$B$32:$B$35</definedName>
    <definedName name="Est">'Datos NEC - Espectro'!$A$32:$A$35</definedName>
    <definedName name="Fa">'Datos NEC - Espectro'!$B$11:$G$15</definedName>
    <definedName name="FactorI">'Datos NEC - Espectro'!$F$32:$F$34</definedName>
    <definedName name="FactorR">'Factores R'!$B$2:$B$10</definedName>
    <definedName name="Fd">'Datos NEC - Espectro'!$B$18:$G$22</definedName>
    <definedName name="Fs">'Datos NEC - Espectro'!$B$25:$G$29</definedName>
    <definedName name="n">'Datos NEC - Espectro'!$C$2:$C$4</definedName>
    <definedName name="Sistema">'Factores R'!$A$2:$A$10</definedName>
    <definedName name="Suelo">'Datos NEC - Espectro'!$A$11:$A$15</definedName>
    <definedName name="T">#REF!</definedName>
    <definedName name="x">'Datos NEC - Espectro'!$C$32:$C$35</definedName>
    <definedName name="Z">'Datos NEC - Espectro'!$B$2:$B$7</definedName>
    <definedName name="Zona">'Datos NEC - Espectro'!$A$2:$A$7</definedName>
    <definedName name="ZonaFa">'Datos NEC - Espectro'!$B$10:$G$10</definedName>
    <definedName name="ZonaFd">'Datos NEC - Espectro'!$B$17:$G$17</definedName>
    <definedName name="ZonaFs">'Datos NEC - Espectro'!$B$24:$G$24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0" i="1" l="1"/>
  <c r="C54" i="1" s="1"/>
  <c r="C101" i="1" a="1"/>
  <c r="C101" i="1" s="1"/>
  <c r="C103" i="1" s="1"/>
  <c r="B101" i="1" a="1"/>
  <c r="B101" i="1" s="1"/>
  <c r="B103" i="1" s="1"/>
  <c r="C95" i="1" a="1"/>
  <c r="C95" i="1" s="1"/>
  <c r="C97" i="1" s="1"/>
  <c r="B95" i="1" a="1"/>
  <c r="B95" i="1" s="1"/>
  <c r="B97" i="1" s="1"/>
  <c r="C50" i="1"/>
  <c r="B51" i="1"/>
  <c r="C51" i="1"/>
  <c r="I60" i="1"/>
  <c r="N15" i="1" l="1"/>
  <c r="Q13" i="1" s="1"/>
  <c r="Q14" i="1" s="1"/>
  <c r="M15" i="1"/>
  <c r="P14" i="1"/>
  <c r="P13" i="1"/>
  <c r="N9" i="1"/>
  <c r="Q7" i="1" s="1"/>
  <c r="Q8" i="1" s="1"/>
  <c r="M9" i="1"/>
  <c r="C75" i="1" s="1"/>
  <c r="P8" i="1"/>
  <c r="P7" i="1"/>
  <c r="E66" i="1"/>
  <c r="I61" i="1"/>
  <c r="C10" i="1"/>
  <c r="C55" i="1" l="1"/>
  <c r="H54" i="1" l="1"/>
  <c r="H55" i="1"/>
  <c r="O13" i="1" l="1"/>
  <c r="O14" i="1"/>
  <c r="R14" i="1"/>
  <c r="R13" i="1"/>
  <c r="R8" i="1"/>
  <c r="O7" i="1"/>
  <c r="O8" i="1"/>
  <c r="R7" i="1"/>
  <c r="O15" i="1" l="1"/>
  <c r="R15" i="1"/>
  <c r="O9" i="1"/>
  <c r="R9" i="1"/>
  <c r="S13" i="1" s="1"/>
  <c r="S14" i="1" l="1"/>
  <c r="S8" i="1"/>
  <c r="S7" i="1"/>
  <c r="C17" i="1"/>
  <c r="C15" i="1"/>
  <c r="C14" i="1"/>
  <c r="C20" i="1" s="1"/>
  <c r="C13" i="1"/>
  <c r="S15" i="1" l="1"/>
  <c r="S9" i="1"/>
  <c r="C19" i="1"/>
  <c r="C18" i="1"/>
  <c r="C81" i="1" l="1"/>
  <c r="J2" i="2"/>
  <c r="I2" i="2" s="1"/>
  <c r="C82" i="1"/>
  <c r="J192" i="2"/>
  <c r="I192" i="2" s="1"/>
  <c r="J53" i="2"/>
  <c r="I53" i="2" s="1"/>
  <c r="J61" i="2"/>
  <c r="I61" i="2" s="1"/>
  <c r="J69" i="2"/>
  <c r="I69" i="2" s="1"/>
  <c r="J77" i="2"/>
  <c r="I77" i="2" s="1"/>
  <c r="J85" i="2"/>
  <c r="I85" i="2" s="1"/>
  <c r="J93" i="2"/>
  <c r="I93" i="2" s="1"/>
  <c r="J101" i="2"/>
  <c r="I101" i="2" s="1"/>
  <c r="J109" i="2"/>
  <c r="I109" i="2" s="1"/>
  <c r="J117" i="2"/>
  <c r="I117" i="2" s="1"/>
  <c r="J125" i="2"/>
  <c r="I125" i="2" s="1"/>
  <c r="J133" i="2"/>
  <c r="I133" i="2" s="1"/>
  <c r="J141" i="2"/>
  <c r="I141" i="2" s="1"/>
  <c r="J149" i="2"/>
  <c r="I149" i="2" s="1"/>
  <c r="J157" i="2"/>
  <c r="I157" i="2" s="1"/>
  <c r="J165" i="2"/>
  <c r="I165" i="2" s="1"/>
  <c r="J173" i="2"/>
  <c r="I173" i="2" s="1"/>
  <c r="J181" i="2"/>
  <c r="I181" i="2" s="1"/>
  <c r="J189" i="2"/>
  <c r="I189" i="2" s="1"/>
  <c r="J197" i="2"/>
  <c r="I197" i="2" s="1"/>
  <c r="J79" i="2"/>
  <c r="I79" i="2" s="1"/>
  <c r="J127" i="2"/>
  <c r="I127" i="2" s="1"/>
  <c r="J143" i="2"/>
  <c r="I143" i="2" s="1"/>
  <c r="J159" i="2"/>
  <c r="I159" i="2" s="1"/>
  <c r="J175" i="2"/>
  <c r="I175" i="2" s="1"/>
  <c r="J183" i="2"/>
  <c r="I183" i="2" s="1"/>
  <c r="J199" i="2"/>
  <c r="I199" i="2" s="1"/>
  <c r="J72" i="2"/>
  <c r="I72" i="2" s="1"/>
  <c r="J96" i="2"/>
  <c r="I96" i="2" s="1"/>
  <c r="J120" i="2"/>
  <c r="I120" i="2" s="1"/>
  <c r="J136" i="2"/>
  <c r="I136" i="2" s="1"/>
  <c r="J152" i="2"/>
  <c r="I152" i="2" s="1"/>
  <c r="J176" i="2"/>
  <c r="I176" i="2" s="1"/>
  <c r="J54" i="2"/>
  <c r="I54" i="2" s="1"/>
  <c r="J62" i="2"/>
  <c r="I62" i="2" s="1"/>
  <c r="J70" i="2"/>
  <c r="I70" i="2" s="1"/>
  <c r="J78" i="2"/>
  <c r="I78" i="2" s="1"/>
  <c r="J86" i="2"/>
  <c r="I86" i="2" s="1"/>
  <c r="J94" i="2"/>
  <c r="I94" i="2" s="1"/>
  <c r="J102" i="2"/>
  <c r="I102" i="2" s="1"/>
  <c r="J110" i="2"/>
  <c r="I110" i="2" s="1"/>
  <c r="J118" i="2"/>
  <c r="I118" i="2" s="1"/>
  <c r="J126" i="2"/>
  <c r="I126" i="2" s="1"/>
  <c r="J134" i="2"/>
  <c r="I134" i="2" s="1"/>
  <c r="J142" i="2"/>
  <c r="I142" i="2" s="1"/>
  <c r="J150" i="2"/>
  <c r="I150" i="2" s="1"/>
  <c r="J158" i="2"/>
  <c r="I158" i="2" s="1"/>
  <c r="J166" i="2"/>
  <c r="I166" i="2" s="1"/>
  <c r="J174" i="2"/>
  <c r="I174" i="2" s="1"/>
  <c r="J182" i="2"/>
  <c r="I182" i="2" s="1"/>
  <c r="J190" i="2"/>
  <c r="I190" i="2" s="1"/>
  <c r="J198" i="2"/>
  <c r="I198" i="2" s="1"/>
  <c r="J55" i="2"/>
  <c r="I55" i="2" s="1"/>
  <c r="J63" i="2"/>
  <c r="I63" i="2" s="1"/>
  <c r="J71" i="2"/>
  <c r="I71" i="2" s="1"/>
  <c r="J87" i="2"/>
  <c r="I87" i="2" s="1"/>
  <c r="J95" i="2"/>
  <c r="I95" i="2" s="1"/>
  <c r="J103" i="2"/>
  <c r="I103" i="2" s="1"/>
  <c r="J111" i="2"/>
  <c r="I111" i="2" s="1"/>
  <c r="J119" i="2"/>
  <c r="I119" i="2" s="1"/>
  <c r="J135" i="2"/>
  <c r="I135" i="2" s="1"/>
  <c r="J151" i="2"/>
  <c r="I151" i="2" s="1"/>
  <c r="J167" i="2"/>
  <c r="I167" i="2" s="1"/>
  <c r="J191" i="2"/>
  <c r="I191" i="2" s="1"/>
  <c r="J64" i="2"/>
  <c r="I64" i="2" s="1"/>
  <c r="J104" i="2"/>
  <c r="I104" i="2" s="1"/>
  <c r="J128" i="2"/>
  <c r="I128" i="2" s="1"/>
  <c r="J160" i="2"/>
  <c r="I160" i="2" s="1"/>
  <c r="J184" i="2"/>
  <c r="I184" i="2" s="1"/>
  <c r="J80" i="2"/>
  <c r="I80" i="2" s="1"/>
  <c r="J57" i="2"/>
  <c r="I57" i="2" s="1"/>
  <c r="J65" i="2"/>
  <c r="I65" i="2" s="1"/>
  <c r="J73" i="2"/>
  <c r="I73" i="2" s="1"/>
  <c r="J81" i="2"/>
  <c r="I81" i="2" s="1"/>
  <c r="J89" i="2"/>
  <c r="I89" i="2" s="1"/>
  <c r="J97" i="2"/>
  <c r="I97" i="2" s="1"/>
  <c r="J105" i="2"/>
  <c r="I105" i="2" s="1"/>
  <c r="J113" i="2"/>
  <c r="I113" i="2" s="1"/>
  <c r="J121" i="2"/>
  <c r="I121" i="2" s="1"/>
  <c r="J129" i="2"/>
  <c r="I129" i="2" s="1"/>
  <c r="J137" i="2"/>
  <c r="I137" i="2" s="1"/>
  <c r="J145" i="2"/>
  <c r="I145" i="2" s="1"/>
  <c r="J153" i="2"/>
  <c r="I153" i="2" s="1"/>
  <c r="J161" i="2"/>
  <c r="I161" i="2" s="1"/>
  <c r="J169" i="2"/>
  <c r="I169" i="2" s="1"/>
  <c r="J177" i="2"/>
  <c r="I177" i="2" s="1"/>
  <c r="J185" i="2"/>
  <c r="I185" i="2" s="1"/>
  <c r="J193" i="2"/>
  <c r="I193" i="2" s="1"/>
  <c r="J201" i="2"/>
  <c r="I201" i="2" s="1"/>
  <c r="J58" i="2"/>
  <c r="I58" i="2" s="1"/>
  <c r="J66" i="2"/>
  <c r="I66" i="2" s="1"/>
  <c r="J74" i="2"/>
  <c r="I74" i="2" s="1"/>
  <c r="J82" i="2"/>
  <c r="I82" i="2" s="1"/>
  <c r="J90" i="2"/>
  <c r="I90" i="2" s="1"/>
  <c r="J98" i="2"/>
  <c r="I98" i="2" s="1"/>
  <c r="J106" i="2"/>
  <c r="I106" i="2" s="1"/>
  <c r="J114" i="2"/>
  <c r="I114" i="2" s="1"/>
  <c r="J122" i="2"/>
  <c r="I122" i="2" s="1"/>
  <c r="J130" i="2"/>
  <c r="I130" i="2" s="1"/>
  <c r="J138" i="2"/>
  <c r="I138" i="2" s="1"/>
  <c r="J146" i="2"/>
  <c r="I146" i="2" s="1"/>
  <c r="J154" i="2"/>
  <c r="I154" i="2" s="1"/>
  <c r="J162" i="2"/>
  <c r="I162" i="2" s="1"/>
  <c r="J170" i="2"/>
  <c r="I170" i="2" s="1"/>
  <c r="J178" i="2"/>
  <c r="I178" i="2" s="1"/>
  <c r="J186" i="2"/>
  <c r="I186" i="2" s="1"/>
  <c r="J194" i="2"/>
  <c r="I194" i="2" s="1"/>
  <c r="J202" i="2"/>
  <c r="I202" i="2" s="1"/>
  <c r="J51" i="2"/>
  <c r="I51" i="2" s="1"/>
  <c r="J59" i="2"/>
  <c r="I59" i="2" s="1"/>
  <c r="J67" i="2"/>
  <c r="I67" i="2" s="1"/>
  <c r="J75" i="2"/>
  <c r="I75" i="2" s="1"/>
  <c r="J83" i="2"/>
  <c r="I83" i="2" s="1"/>
  <c r="J91" i="2"/>
  <c r="I91" i="2" s="1"/>
  <c r="J99" i="2"/>
  <c r="I99" i="2" s="1"/>
  <c r="J107" i="2"/>
  <c r="I107" i="2" s="1"/>
  <c r="J115" i="2"/>
  <c r="I115" i="2" s="1"/>
  <c r="J123" i="2"/>
  <c r="I123" i="2" s="1"/>
  <c r="J131" i="2"/>
  <c r="I131" i="2" s="1"/>
  <c r="J139" i="2"/>
  <c r="I139" i="2" s="1"/>
  <c r="J147" i="2"/>
  <c r="I147" i="2" s="1"/>
  <c r="J155" i="2"/>
  <c r="I155" i="2" s="1"/>
  <c r="J163" i="2"/>
  <c r="I163" i="2" s="1"/>
  <c r="J171" i="2"/>
  <c r="I171" i="2" s="1"/>
  <c r="J179" i="2"/>
  <c r="I179" i="2" s="1"/>
  <c r="J187" i="2"/>
  <c r="I187" i="2" s="1"/>
  <c r="J195" i="2"/>
  <c r="I195" i="2" s="1"/>
  <c r="J52" i="2"/>
  <c r="I52" i="2" s="1"/>
  <c r="J60" i="2"/>
  <c r="I60" i="2" s="1"/>
  <c r="J68" i="2"/>
  <c r="I68" i="2" s="1"/>
  <c r="J76" i="2"/>
  <c r="I76" i="2" s="1"/>
  <c r="J84" i="2"/>
  <c r="I84" i="2" s="1"/>
  <c r="J92" i="2"/>
  <c r="I92" i="2" s="1"/>
  <c r="J100" i="2"/>
  <c r="I100" i="2" s="1"/>
  <c r="J108" i="2"/>
  <c r="I108" i="2" s="1"/>
  <c r="J116" i="2"/>
  <c r="I116" i="2" s="1"/>
  <c r="J124" i="2"/>
  <c r="I124" i="2" s="1"/>
  <c r="J132" i="2"/>
  <c r="I132" i="2" s="1"/>
  <c r="J140" i="2"/>
  <c r="I140" i="2" s="1"/>
  <c r="J148" i="2"/>
  <c r="I148" i="2" s="1"/>
  <c r="J156" i="2"/>
  <c r="I156" i="2" s="1"/>
  <c r="J164" i="2"/>
  <c r="I164" i="2" s="1"/>
  <c r="J172" i="2"/>
  <c r="I172" i="2" s="1"/>
  <c r="J180" i="2"/>
  <c r="I180" i="2" s="1"/>
  <c r="J188" i="2"/>
  <c r="I188" i="2" s="1"/>
  <c r="J196" i="2"/>
  <c r="I196" i="2" s="1"/>
  <c r="J56" i="2"/>
  <c r="I56" i="2" s="1"/>
  <c r="J88" i="2"/>
  <c r="I88" i="2" s="1"/>
  <c r="J112" i="2"/>
  <c r="I112" i="2" s="1"/>
  <c r="J144" i="2"/>
  <c r="I144" i="2" s="1"/>
  <c r="J168" i="2"/>
  <c r="I168" i="2" s="1"/>
  <c r="J200" i="2"/>
  <c r="I200" i="2" s="1"/>
  <c r="J50" i="2"/>
  <c r="I50" i="2" s="1"/>
  <c r="J42" i="2"/>
  <c r="I42" i="2" s="1"/>
  <c r="J34" i="2"/>
  <c r="I34" i="2" s="1"/>
  <c r="J26" i="2"/>
  <c r="I26" i="2" s="1"/>
  <c r="J18" i="2"/>
  <c r="I18" i="2" s="1"/>
  <c r="J10" i="2"/>
  <c r="I10" i="2" s="1"/>
  <c r="J4" i="2"/>
  <c r="I4" i="2" s="1"/>
  <c r="J27" i="2"/>
  <c r="I27" i="2" s="1"/>
  <c r="J3" i="2"/>
  <c r="I3" i="2" s="1"/>
  <c r="J49" i="2"/>
  <c r="I49" i="2" s="1"/>
  <c r="J41" i="2"/>
  <c r="I41" i="2" s="1"/>
  <c r="J33" i="2"/>
  <c r="I33" i="2" s="1"/>
  <c r="J25" i="2"/>
  <c r="I25" i="2" s="1"/>
  <c r="J17" i="2"/>
  <c r="I17" i="2" s="1"/>
  <c r="J9" i="2"/>
  <c r="I9" i="2" s="1"/>
  <c r="J12" i="2"/>
  <c r="I12" i="2" s="1"/>
  <c r="J35" i="2"/>
  <c r="I35" i="2" s="1"/>
  <c r="J11" i="2"/>
  <c r="I11" i="2" s="1"/>
  <c r="J48" i="2"/>
  <c r="I48" i="2" s="1"/>
  <c r="J40" i="2"/>
  <c r="I40" i="2" s="1"/>
  <c r="J32" i="2"/>
  <c r="I32" i="2" s="1"/>
  <c r="J24" i="2"/>
  <c r="I24" i="2" s="1"/>
  <c r="J16" i="2"/>
  <c r="I16" i="2" s="1"/>
  <c r="J8" i="2"/>
  <c r="I8" i="2" s="1"/>
  <c r="J47" i="2"/>
  <c r="I47" i="2" s="1"/>
  <c r="J39" i="2"/>
  <c r="I39" i="2" s="1"/>
  <c r="J31" i="2"/>
  <c r="I31" i="2" s="1"/>
  <c r="J23" i="2"/>
  <c r="I23" i="2" s="1"/>
  <c r="J15" i="2"/>
  <c r="I15" i="2" s="1"/>
  <c r="J7" i="2"/>
  <c r="I7" i="2" s="1"/>
  <c r="J46" i="2"/>
  <c r="I46" i="2" s="1"/>
  <c r="J38" i="2"/>
  <c r="I38" i="2" s="1"/>
  <c r="J30" i="2"/>
  <c r="I30" i="2" s="1"/>
  <c r="J22" i="2"/>
  <c r="I22" i="2" s="1"/>
  <c r="J14" i="2"/>
  <c r="I14" i="2" s="1"/>
  <c r="J6" i="2"/>
  <c r="I6" i="2" s="1"/>
  <c r="J45" i="2"/>
  <c r="I45" i="2" s="1"/>
  <c r="J37" i="2"/>
  <c r="I37" i="2" s="1"/>
  <c r="J29" i="2"/>
  <c r="I29" i="2" s="1"/>
  <c r="J21" i="2"/>
  <c r="I21" i="2" s="1"/>
  <c r="J13" i="2"/>
  <c r="I13" i="2" s="1"/>
  <c r="J5" i="2"/>
  <c r="I5" i="2" s="1"/>
  <c r="J44" i="2"/>
  <c r="I44" i="2" s="1"/>
  <c r="J36" i="2"/>
  <c r="I36" i="2" s="1"/>
  <c r="J28" i="2"/>
  <c r="I28" i="2" s="1"/>
  <c r="J20" i="2"/>
  <c r="I20" i="2" s="1"/>
  <c r="J43" i="2"/>
  <c r="I43" i="2" s="1"/>
  <c r="J19" i="2"/>
  <c r="I19" i="2" s="1"/>
  <c r="C87" i="1" l="1"/>
  <c r="C86" i="1"/>
  <c r="E116" i="1" l="1"/>
  <c r="E108" i="1"/>
  <c r="E109" i="1"/>
  <c r="E117" i="1"/>
  <c r="T13" i="1"/>
  <c r="E87" i="1"/>
  <c r="T7" i="1"/>
  <c r="E86" i="1"/>
  <c r="T8" i="1"/>
  <c r="T14" i="1"/>
  <c r="G117" i="1" l="1"/>
  <c r="G109" i="1"/>
  <c r="G108" i="1"/>
  <c r="G116" i="1"/>
  <c r="T15" i="1"/>
  <c r="T9" i="1"/>
  <c r="E95" i="1" a="1"/>
  <c r="E95" i="1" s="1"/>
  <c r="E97" i="1" s="1"/>
  <c r="E101" i="1" a="1"/>
  <c r="E101" i="1" s="1"/>
  <c r="E10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<sst xmlns="http://schemas.openxmlformats.org/spreadsheetml/2006/main" count="230" uniqueCount="128">
  <si>
    <t>Proyecto:</t>
  </si>
  <si>
    <t>Ubicación:</t>
  </si>
  <si>
    <t>Elaborado por:</t>
  </si>
  <si>
    <t>Suelo A</t>
  </si>
  <si>
    <t>Suelo B</t>
  </si>
  <si>
    <t>Suelo C</t>
  </si>
  <si>
    <t>Suelo D</t>
  </si>
  <si>
    <t>Suelo E</t>
  </si>
  <si>
    <t>Zona Sísmica:</t>
  </si>
  <si>
    <t>I</t>
  </si>
  <si>
    <t>II</t>
  </si>
  <si>
    <t>III</t>
  </si>
  <si>
    <t>IV</t>
  </si>
  <si>
    <t>V</t>
  </si>
  <si>
    <t>VI</t>
  </si>
  <si>
    <t>Factor Z:</t>
  </si>
  <si>
    <t>Zona Sísmica</t>
  </si>
  <si>
    <t>Factor Z</t>
  </si>
  <si>
    <t>Fa</t>
  </si>
  <si>
    <t>Fd</t>
  </si>
  <si>
    <t>Fa:</t>
  </si>
  <si>
    <t>Fd:</t>
  </si>
  <si>
    <t>Fs:</t>
  </si>
  <si>
    <t>Fs</t>
  </si>
  <si>
    <t>η:</t>
  </si>
  <si>
    <t>T(s)</t>
  </si>
  <si>
    <t>Sa(g)</t>
  </si>
  <si>
    <t>Tipo de Perfil:</t>
  </si>
  <si>
    <t>r:</t>
  </si>
  <si>
    <t xml:space="preserve">1. Espectro de Diseño </t>
  </si>
  <si>
    <t>3.2.2. Tabla 3</t>
  </si>
  <si>
    <t>3.2.2. Tabla 4</t>
  </si>
  <si>
    <t>3.2.2. Tabla 5</t>
  </si>
  <si>
    <t>3.3.1.</t>
  </si>
  <si>
    <t>Piso</t>
  </si>
  <si>
    <t>Masa (kg)</t>
  </si>
  <si>
    <t>Total</t>
  </si>
  <si>
    <t>Wi</t>
  </si>
  <si>
    <t>Hi</t>
  </si>
  <si>
    <t>Wx*Hx^k</t>
  </si>
  <si>
    <t>Wi*Hi^k</t>
  </si>
  <si>
    <t>Altura(m)</t>
  </si>
  <si>
    <t>2. Período de la Estructura</t>
  </si>
  <si>
    <t>Sentido X</t>
  </si>
  <si>
    <t>Sentido Y</t>
  </si>
  <si>
    <t>Estructuras de acero arriostradas</t>
  </si>
  <si>
    <t>Ct</t>
  </si>
  <si>
    <t>α</t>
  </si>
  <si>
    <t>Tipo de estructura</t>
  </si>
  <si>
    <t>X:</t>
  </si>
  <si>
    <t>Pórticos de concreto sin muros estructurales o diagonales rigidizadoras</t>
  </si>
  <si>
    <t>Pórticos de concreto con muros estructurales o diagonales rigidizadoras</t>
  </si>
  <si>
    <t>Y:</t>
  </si>
  <si>
    <t>Estructuras de acero sin arriostrar</t>
  </si>
  <si>
    <t>α:</t>
  </si>
  <si>
    <t>Sentido</t>
  </si>
  <si>
    <t>Pórticos especiales sismo resistentes, de hormigón armado con vigas descolgadas</t>
  </si>
  <si>
    <t>Pórticos con columnas de hormigón armado y vigas de acero laminado en caliente</t>
  </si>
  <si>
    <t>Sistemas de muros estructurales dúctiles de hormigón armado</t>
  </si>
  <si>
    <t>Pórticos especiales sismo resistentes de hormigón armado con vigas banda</t>
  </si>
  <si>
    <t>Pórticos especiales sismo resistentes, de hormigón armado con vigas descolgadas y con muros estructurales de hormigón armado o con diagonales rigidizadoras (sistemas duales)</t>
  </si>
  <si>
    <t>Pórticos especiales sismo resistentes de acero laminado en caliente, sea con diagonales rigidizadoras (excéntricas o concéntricas) o con muros estructurales de hormigón armado</t>
  </si>
  <si>
    <t>Pórticos especiales sismo resistentes, de hormigón armado con vigas banda, con muros estructurales de hormigón armado o con diagonales rigidizadoras</t>
  </si>
  <si>
    <t>Pórticos especiales sismo resistentes, de acero laminado en caliente o con elementos armados de placas</t>
  </si>
  <si>
    <t>Sistema Estructural</t>
  </si>
  <si>
    <t>R</t>
  </si>
  <si>
    <t>Pórticos con columnas de hormigón armado y vigas de acero laminado en caliente con diagonales rigidizadoras (excéntricas o concéntricas)</t>
  </si>
  <si>
    <t>Edificaciones esenciales</t>
  </si>
  <si>
    <t>Estructuras de ocupación especial</t>
  </si>
  <si>
    <t>Otras estructuras</t>
  </si>
  <si>
    <t>Categoría</t>
  </si>
  <si>
    <t>fx</t>
  </si>
  <si>
    <t>fy</t>
  </si>
  <si>
    <t>Fx (kN)</t>
  </si>
  <si>
    <t>Fy (kN)</t>
  </si>
  <si>
    <t>4. Fuerza Lateral Equivalente</t>
  </si>
  <si>
    <t xml:space="preserve">Contenido:  </t>
  </si>
  <si>
    <t>Memoria de Cálculo - Diseño Sismorresistente</t>
  </si>
  <si>
    <r>
      <t>T</t>
    </r>
    <r>
      <rPr>
        <b/>
        <vertAlign val="subscript"/>
        <sz val="11"/>
        <color theme="1"/>
        <rFont val="Tahoma"/>
        <family val="2"/>
      </rPr>
      <t xml:space="preserve">0 </t>
    </r>
    <r>
      <rPr>
        <b/>
        <sz val="11"/>
        <color theme="1"/>
        <rFont val="Tahoma"/>
        <family val="2"/>
      </rPr>
      <t>(s)=</t>
    </r>
  </si>
  <si>
    <r>
      <t>T</t>
    </r>
    <r>
      <rPr>
        <b/>
        <vertAlign val="subscript"/>
        <sz val="11"/>
        <color theme="1"/>
        <rFont val="Tahoma"/>
        <family val="2"/>
      </rPr>
      <t xml:space="preserve">c </t>
    </r>
    <r>
      <rPr>
        <b/>
        <sz val="11"/>
        <color theme="1"/>
        <rFont val="Tahoma"/>
        <family val="2"/>
      </rPr>
      <t>(s)=</t>
    </r>
  </si>
  <si>
    <r>
      <t>T</t>
    </r>
    <r>
      <rPr>
        <b/>
        <vertAlign val="subscript"/>
        <sz val="11"/>
        <color theme="1"/>
        <rFont val="Tahoma"/>
        <family val="2"/>
      </rPr>
      <t xml:space="preserve">L </t>
    </r>
    <r>
      <rPr>
        <b/>
        <sz val="11"/>
        <color theme="1"/>
        <rFont val="Tahoma"/>
        <family val="2"/>
      </rPr>
      <t>(s)=</t>
    </r>
  </si>
  <si>
    <r>
      <t>H</t>
    </r>
    <r>
      <rPr>
        <b/>
        <vertAlign val="subscript"/>
        <sz val="11"/>
        <color theme="1"/>
        <rFont val="Tahoma"/>
        <family val="2"/>
      </rPr>
      <t>n</t>
    </r>
    <r>
      <rPr>
        <b/>
        <sz val="11"/>
        <color theme="1"/>
        <rFont val="Tahoma"/>
        <family val="2"/>
      </rPr>
      <t>(m)</t>
    </r>
  </si>
  <si>
    <r>
      <t>Irregularidad en planta φ</t>
    </r>
    <r>
      <rPr>
        <b/>
        <vertAlign val="subscript"/>
        <sz val="11"/>
        <color theme="1"/>
        <rFont val="Tahoma"/>
        <family val="2"/>
      </rPr>
      <t>P</t>
    </r>
  </si>
  <si>
    <r>
      <t>Irregularidad en elevación φ</t>
    </r>
    <r>
      <rPr>
        <b/>
        <vertAlign val="subscript"/>
        <sz val="11"/>
        <color theme="1"/>
        <rFont val="Tahoma"/>
        <family val="2"/>
      </rPr>
      <t>E</t>
    </r>
  </si>
  <si>
    <t>v</t>
  </si>
  <si>
    <t>Sa/R (g)</t>
  </si>
  <si>
    <t>NEC-SE-DS 3.3.1.</t>
  </si>
  <si>
    <t>NEC-SE-DS 6.3.3.</t>
  </si>
  <si>
    <t>3.1. Figura 1 / 10.2.</t>
  </si>
  <si>
    <t>3.1.1. Tabla 1</t>
  </si>
  <si>
    <t>6.3.3. Método 1</t>
  </si>
  <si>
    <t>NEC-SE-DS 6.3.4.</t>
  </si>
  <si>
    <t>6.3.5.</t>
  </si>
  <si>
    <t>NEC-SE-DS 4.1.</t>
  </si>
  <si>
    <t>4.1. Tabla 6</t>
  </si>
  <si>
    <t>k</t>
  </si>
  <si>
    <t>4. Ductilidad y Factor R</t>
  </si>
  <si>
    <t>5. Coeficiente de Importancia</t>
  </si>
  <si>
    <t>Masa de la estructura (kg)</t>
  </si>
  <si>
    <t>M:</t>
  </si>
  <si>
    <t>W:</t>
  </si>
  <si>
    <t>Peso de la Estructura (kN)</t>
  </si>
  <si>
    <t>5.2.3. Tabla 13</t>
  </si>
  <si>
    <t>5.2.3. Tabla 14</t>
  </si>
  <si>
    <t>V=</t>
  </si>
  <si>
    <t>NEC-SE-DS 6.3.5.</t>
  </si>
  <si>
    <t>Cortante Basal de diseño (kN)</t>
  </si>
  <si>
    <t>6.3.2.</t>
  </si>
  <si>
    <t>6.1.7</t>
  </si>
  <si>
    <t xml:space="preserve">Aceleración Espectral </t>
  </si>
  <si>
    <r>
      <t>S</t>
    </r>
    <r>
      <rPr>
        <b/>
        <vertAlign val="subscript"/>
        <sz val="11"/>
        <color theme="1"/>
        <rFont val="Tahoma"/>
        <family val="2"/>
      </rPr>
      <t>a</t>
    </r>
    <r>
      <rPr>
        <b/>
        <sz val="11"/>
        <color theme="1"/>
        <rFont val="Tahoma"/>
        <family val="2"/>
      </rPr>
      <t>(T) (g)</t>
    </r>
  </si>
  <si>
    <t>7. Fuerza Lateral Equivalente</t>
  </si>
  <si>
    <t>NEC-SE-DS 6.3.2.</t>
  </si>
  <si>
    <t>6. Cortante Basal</t>
  </si>
  <si>
    <t>8. Análisis Estático Equivalente</t>
  </si>
  <si>
    <t>8. Análisis Modal-Espectral</t>
  </si>
  <si>
    <r>
      <t>T</t>
    </r>
    <r>
      <rPr>
        <vertAlign val="subscript"/>
        <sz val="11"/>
        <color theme="1"/>
        <rFont val="Tahoma"/>
        <family val="2"/>
      </rPr>
      <t>calculado</t>
    </r>
    <r>
      <rPr>
        <sz val="11"/>
        <color theme="1"/>
        <rFont val="Tahoma"/>
        <family val="2"/>
      </rPr>
      <t>(s)=</t>
    </r>
  </si>
  <si>
    <r>
      <t>f</t>
    </r>
    <r>
      <rPr>
        <b/>
        <vertAlign val="subscript"/>
        <sz val="11"/>
        <color theme="1"/>
        <rFont val="Tahoma"/>
        <family val="2"/>
      </rPr>
      <t>correción</t>
    </r>
  </si>
  <si>
    <t>v'</t>
  </si>
  <si>
    <t>Cortante estático (kN)</t>
  </si>
  <si>
    <t>9. Verificación de derivas</t>
  </si>
  <si>
    <t>NEC-SE-DS 6.3.9.</t>
  </si>
  <si>
    <r>
      <t>Δ</t>
    </r>
    <r>
      <rPr>
        <b/>
        <vertAlign val="subscript"/>
        <sz val="11"/>
        <color theme="1"/>
        <rFont val="Calibri"/>
        <family val="2"/>
      </rPr>
      <t>M</t>
    </r>
    <r>
      <rPr>
        <b/>
        <sz val="11"/>
        <color theme="1"/>
        <rFont val="Calibri"/>
        <family val="2"/>
      </rPr>
      <t>:</t>
    </r>
  </si>
  <si>
    <r>
      <t>Δ</t>
    </r>
    <r>
      <rPr>
        <b/>
        <vertAlign val="subscript"/>
        <sz val="11"/>
        <color theme="1"/>
        <rFont val="Calibri"/>
        <family val="2"/>
      </rPr>
      <t>E</t>
    </r>
  </si>
  <si>
    <t>CUMPLE</t>
  </si>
  <si>
    <r>
      <t>Δ</t>
    </r>
    <r>
      <rPr>
        <b/>
        <vertAlign val="subscript"/>
        <sz val="11"/>
        <color theme="1"/>
        <rFont val="Calibri"/>
        <family val="2"/>
      </rPr>
      <t xml:space="preserve">M </t>
    </r>
    <r>
      <rPr>
        <b/>
        <sz val="11"/>
        <color theme="1"/>
        <rFont val="Calibri"/>
        <family val="2"/>
      </rPr>
      <t>máxima:</t>
    </r>
  </si>
  <si>
    <t>Quito, Ecuador</t>
  </si>
  <si>
    <t>Diego Escalante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</si>
</sst>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Technic"/>
      <charset val="2"/>
    </font>
    <font>
      <sz val="11"/>
      <color theme="1"/>
      <name val="Technic"/>
      <charset val="2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i/>
      <sz val="11"/>
      <color theme="1"/>
      <name val="Tahoma"/>
      <family val="2"/>
    </font>
    <font>
      <b/>
      <vertAlign val="subscript"/>
      <sz val="11"/>
      <color theme="1"/>
      <name val="Tahoma"/>
      <family val="2"/>
    </font>
    <font>
      <sz val="9"/>
      <color theme="1"/>
      <name val="Tahoma"/>
      <family val="2"/>
    </font>
    <font>
      <sz val="11"/>
      <color theme="1"/>
      <name val="Calibri"/>
      <family val="2"/>
      <scheme val="minor"/>
    </font>
    <font>
      <vertAlign val="subscript"/>
      <sz val="11"/>
      <color theme="1"/>
      <name val="Tahoma"/>
      <family val="2"/>
    </font>
    <font>
      <b/>
      <sz val="11"/>
      <color theme="1"/>
      <name val="Calibri"/>
      <family val="2"/>
    </font>
    <font>
      <b/>
      <vertAlign val="subscript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4" fillId="0" borderId="0" xfId="0" applyFont="1"/>
    <xf numFmtId="165" fontId="5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2" fontId="5" fillId="0" borderId="0" xfId="0" applyNumberFormat="1" applyFont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2" fontId="5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3" xfId="0" applyFont="1" applyBorder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165" fontId="7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5" fillId="0" borderId="0" xfId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echnic" panose="00000400000000000000" pitchFamily="2" charset="2"/>
                <a:ea typeface="+mn-ea"/>
                <a:cs typeface="+mn-cs"/>
              </a:defRPr>
            </a:pPr>
            <a:r>
              <a:rPr lang="en-US" sz="1100">
                <a:latin typeface="Technic" panose="00000400000000000000" pitchFamily="2" charset="2"/>
              </a:rPr>
              <a:t>Espectro </a:t>
            </a:r>
            <a:r>
              <a:rPr lang="en-US" sz="1100" baseline="0">
                <a:latin typeface="Technic" panose="00000400000000000000" pitchFamily="2" charset="2"/>
              </a:rPr>
              <a:t>de diseño en aceleraciones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echnic" panose="00000400000000000000" pitchFamily="2" charset="2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'Datos NEC - Espectro'!$J$1</c:f>
              <c:strCache>
                <c:ptCount val="1"/>
                <c:pt idx="0">
                  <c:v>Sa(g)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'Datos NEC - Espectro'!$H$2:$H$202</c:f>
              <c:numCache>
                <c:formatCode>0.000</c:formatCode>
                <c:ptCount val="20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  <c:pt idx="73">
                  <c:v>1.46</c:v>
                </c:pt>
                <c:pt idx="74">
                  <c:v>1.48</c:v>
                </c:pt>
                <c:pt idx="75">
                  <c:v>1.5</c:v>
                </c:pt>
                <c:pt idx="76">
                  <c:v>1.52</c:v>
                </c:pt>
                <c:pt idx="77">
                  <c:v>1.54</c:v>
                </c:pt>
                <c:pt idx="78">
                  <c:v>1.56</c:v>
                </c:pt>
                <c:pt idx="79">
                  <c:v>1.58</c:v>
                </c:pt>
                <c:pt idx="80">
                  <c:v>1.6</c:v>
                </c:pt>
                <c:pt idx="81">
                  <c:v>1.62</c:v>
                </c:pt>
                <c:pt idx="82">
                  <c:v>1.64</c:v>
                </c:pt>
                <c:pt idx="83">
                  <c:v>1.66</c:v>
                </c:pt>
                <c:pt idx="84">
                  <c:v>1.68</c:v>
                </c:pt>
                <c:pt idx="85">
                  <c:v>1.7</c:v>
                </c:pt>
                <c:pt idx="86">
                  <c:v>1.72</c:v>
                </c:pt>
                <c:pt idx="87">
                  <c:v>1.74</c:v>
                </c:pt>
                <c:pt idx="88">
                  <c:v>1.76</c:v>
                </c:pt>
                <c:pt idx="89">
                  <c:v>1.78</c:v>
                </c:pt>
                <c:pt idx="90">
                  <c:v>1.8</c:v>
                </c:pt>
                <c:pt idx="91">
                  <c:v>1.82</c:v>
                </c:pt>
                <c:pt idx="92">
                  <c:v>1.84</c:v>
                </c:pt>
                <c:pt idx="93">
                  <c:v>1.86</c:v>
                </c:pt>
                <c:pt idx="94">
                  <c:v>1.88</c:v>
                </c:pt>
                <c:pt idx="95">
                  <c:v>1.9</c:v>
                </c:pt>
                <c:pt idx="96">
                  <c:v>1.92</c:v>
                </c:pt>
                <c:pt idx="97">
                  <c:v>1.94</c:v>
                </c:pt>
                <c:pt idx="98">
                  <c:v>1.96</c:v>
                </c:pt>
                <c:pt idx="99">
                  <c:v>1.98</c:v>
                </c:pt>
                <c:pt idx="100">
                  <c:v>2</c:v>
                </c:pt>
                <c:pt idx="101">
                  <c:v>2.02</c:v>
                </c:pt>
                <c:pt idx="102">
                  <c:v>2.04</c:v>
                </c:pt>
                <c:pt idx="103">
                  <c:v>2.06</c:v>
                </c:pt>
                <c:pt idx="104">
                  <c:v>2.08</c:v>
                </c:pt>
                <c:pt idx="105">
                  <c:v>2.1</c:v>
                </c:pt>
                <c:pt idx="106">
                  <c:v>2.12</c:v>
                </c:pt>
                <c:pt idx="107">
                  <c:v>2.14</c:v>
                </c:pt>
                <c:pt idx="108">
                  <c:v>2.16</c:v>
                </c:pt>
                <c:pt idx="109">
                  <c:v>2.1800000000000002</c:v>
                </c:pt>
                <c:pt idx="110">
                  <c:v>2.2000000000000002</c:v>
                </c:pt>
                <c:pt idx="111">
                  <c:v>2.2200000000000002</c:v>
                </c:pt>
                <c:pt idx="112">
                  <c:v>2.2400000000000002</c:v>
                </c:pt>
                <c:pt idx="113">
                  <c:v>2.2599999999999998</c:v>
                </c:pt>
                <c:pt idx="114">
                  <c:v>2.2799999999999998</c:v>
                </c:pt>
                <c:pt idx="115">
                  <c:v>2.2999999999999998</c:v>
                </c:pt>
                <c:pt idx="116">
                  <c:v>2.3199999999999998</c:v>
                </c:pt>
                <c:pt idx="117">
                  <c:v>2.34</c:v>
                </c:pt>
                <c:pt idx="118">
                  <c:v>2.36</c:v>
                </c:pt>
                <c:pt idx="119">
                  <c:v>2.38</c:v>
                </c:pt>
                <c:pt idx="120">
                  <c:v>2.4</c:v>
                </c:pt>
                <c:pt idx="121">
                  <c:v>2.42</c:v>
                </c:pt>
                <c:pt idx="122">
                  <c:v>2.44</c:v>
                </c:pt>
                <c:pt idx="123">
                  <c:v>2.46</c:v>
                </c:pt>
                <c:pt idx="124">
                  <c:v>2.48</c:v>
                </c:pt>
                <c:pt idx="125">
                  <c:v>2.5</c:v>
                </c:pt>
                <c:pt idx="126">
                  <c:v>2.52</c:v>
                </c:pt>
                <c:pt idx="127">
                  <c:v>2.54</c:v>
                </c:pt>
                <c:pt idx="128">
                  <c:v>2.56</c:v>
                </c:pt>
                <c:pt idx="129">
                  <c:v>2.58</c:v>
                </c:pt>
                <c:pt idx="130">
                  <c:v>2.6</c:v>
                </c:pt>
                <c:pt idx="131">
                  <c:v>2.62</c:v>
                </c:pt>
                <c:pt idx="132">
                  <c:v>2.64</c:v>
                </c:pt>
                <c:pt idx="133">
                  <c:v>2.66</c:v>
                </c:pt>
                <c:pt idx="134">
                  <c:v>2.68</c:v>
                </c:pt>
                <c:pt idx="135">
                  <c:v>2.7</c:v>
                </c:pt>
                <c:pt idx="136">
                  <c:v>2.72</c:v>
                </c:pt>
                <c:pt idx="137">
                  <c:v>2.74</c:v>
                </c:pt>
                <c:pt idx="138">
                  <c:v>2.76</c:v>
                </c:pt>
                <c:pt idx="139">
                  <c:v>2.78</c:v>
                </c:pt>
                <c:pt idx="140">
                  <c:v>2.8</c:v>
                </c:pt>
                <c:pt idx="141">
                  <c:v>2.82</c:v>
                </c:pt>
                <c:pt idx="142">
                  <c:v>2.84</c:v>
                </c:pt>
                <c:pt idx="143">
                  <c:v>2.86</c:v>
                </c:pt>
                <c:pt idx="144">
                  <c:v>2.88</c:v>
                </c:pt>
                <c:pt idx="145">
                  <c:v>2.9</c:v>
                </c:pt>
                <c:pt idx="146">
                  <c:v>2.92</c:v>
                </c:pt>
                <c:pt idx="147">
                  <c:v>2.94</c:v>
                </c:pt>
                <c:pt idx="148">
                  <c:v>2.96</c:v>
                </c:pt>
                <c:pt idx="149">
                  <c:v>2.98</c:v>
                </c:pt>
                <c:pt idx="150">
                  <c:v>3</c:v>
                </c:pt>
                <c:pt idx="151">
                  <c:v>3.02</c:v>
                </c:pt>
                <c:pt idx="152">
                  <c:v>3.04</c:v>
                </c:pt>
                <c:pt idx="153">
                  <c:v>3.06</c:v>
                </c:pt>
                <c:pt idx="154">
                  <c:v>3.08</c:v>
                </c:pt>
                <c:pt idx="155">
                  <c:v>3.1</c:v>
                </c:pt>
                <c:pt idx="156">
                  <c:v>3.12</c:v>
                </c:pt>
                <c:pt idx="157">
                  <c:v>3.14</c:v>
                </c:pt>
                <c:pt idx="158">
                  <c:v>3.16</c:v>
                </c:pt>
                <c:pt idx="159">
                  <c:v>3.18</c:v>
                </c:pt>
                <c:pt idx="160">
                  <c:v>3.2</c:v>
                </c:pt>
                <c:pt idx="161">
                  <c:v>3.22</c:v>
                </c:pt>
                <c:pt idx="162">
                  <c:v>3.24</c:v>
                </c:pt>
                <c:pt idx="163">
                  <c:v>3.26</c:v>
                </c:pt>
                <c:pt idx="164">
                  <c:v>3.28</c:v>
                </c:pt>
                <c:pt idx="165">
                  <c:v>3.3</c:v>
                </c:pt>
                <c:pt idx="166">
                  <c:v>3.32</c:v>
                </c:pt>
                <c:pt idx="167">
                  <c:v>3.34</c:v>
                </c:pt>
                <c:pt idx="168">
                  <c:v>3.36</c:v>
                </c:pt>
                <c:pt idx="169">
                  <c:v>3.38</c:v>
                </c:pt>
                <c:pt idx="170">
                  <c:v>3.4</c:v>
                </c:pt>
                <c:pt idx="171">
                  <c:v>3.42</c:v>
                </c:pt>
                <c:pt idx="172">
                  <c:v>3.44</c:v>
                </c:pt>
                <c:pt idx="173">
                  <c:v>3.46</c:v>
                </c:pt>
                <c:pt idx="174">
                  <c:v>3.48</c:v>
                </c:pt>
                <c:pt idx="175">
                  <c:v>3.5</c:v>
                </c:pt>
                <c:pt idx="176">
                  <c:v>3.52</c:v>
                </c:pt>
                <c:pt idx="177">
                  <c:v>3.54</c:v>
                </c:pt>
                <c:pt idx="178">
                  <c:v>3.56</c:v>
                </c:pt>
                <c:pt idx="179">
                  <c:v>3.58</c:v>
                </c:pt>
                <c:pt idx="180">
                  <c:v>3.6</c:v>
                </c:pt>
                <c:pt idx="181">
                  <c:v>3.62</c:v>
                </c:pt>
                <c:pt idx="182">
                  <c:v>3.64</c:v>
                </c:pt>
                <c:pt idx="183">
                  <c:v>3.66</c:v>
                </c:pt>
                <c:pt idx="184">
                  <c:v>3.68</c:v>
                </c:pt>
                <c:pt idx="185">
                  <c:v>3.7</c:v>
                </c:pt>
                <c:pt idx="186">
                  <c:v>3.72</c:v>
                </c:pt>
                <c:pt idx="187">
                  <c:v>3.74</c:v>
                </c:pt>
                <c:pt idx="188">
                  <c:v>3.76</c:v>
                </c:pt>
                <c:pt idx="189">
                  <c:v>3.78</c:v>
                </c:pt>
                <c:pt idx="190">
                  <c:v>3.8</c:v>
                </c:pt>
                <c:pt idx="191">
                  <c:v>3.82</c:v>
                </c:pt>
                <c:pt idx="192">
                  <c:v>3.84</c:v>
                </c:pt>
                <c:pt idx="193">
                  <c:v>3.86</c:v>
                </c:pt>
                <c:pt idx="194">
                  <c:v>3.88</c:v>
                </c:pt>
                <c:pt idx="195">
                  <c:v>3.9</c:v>
                </c:pt>
                <c:pt idx="196">
                  <c:v>3.92</c:v>
                </c:pt>
                <c:pt idx="197">
                  <c:v>3.94</c:v>
                </c:pt>
                <c:pt idx="198">
                  <c:v>3.96</c:v>
                </c:pt>
                <c:pt idx="199">
                  <c:v>3.98</c:v>
                </c:pt>
                <c:pt idx="200">
                  <c:v>4</c:v>
                </c:pt>
              </c:numCache>
            </c:numRef>
          </c:xVal>
          <c:yVal>
            <c:numRef>
              <c:f>'Datos NEC - Espectro'!$J$2:$J$202</c:f>
              <c:numCache>
                <c:formatCode>0.000</c:formatCode>
                <c:ptCount val="201"/>
                <c:pt idx="0">
                  <c:v>0.48</c:v>
                </c:pt>
                <c:pt idx="1">
                  <c:v>0.54050420168067226</c:v>
                </c:pt>
                <c:pt idx="2">
                  <c:v>0.60100840336134453</c:v>
                </c:pt>
                <c:pt idx="3">
                  <c:v>0.66151260504201681</c:v>
                </c:pt>
                <c:pt idx="4">
                  <c:v>0.72201680672268909</c:v>
                </c:pt>
                <c:pt idx="5">
                  <c:v>0.78252100840336136</c:v>
                </c:pt>
                <c:pt idx="6">
                  <c:v>0.84302521008403353</c:v>
                </c:pt>
                <c:pt idx="7">
                  <c:v>0.8640000000000001</c:v>
                </c:pt>
                <c:pt idx="8">
                  <c:v>0.8640000000000001</c:v>
                </c:pt>
                <c:pt idx="9">
                  <c:v>0.8640000000000001</c:v>
                </c:pt>
                <c:pt idx="10">
                  <c:v>0.8640000000000001</c:v>
                </c:pt>
                <c:pt idx="11">
                  <c:v>0.8640000000000001</c:v>
                </c:pt>
                <c:pt idx="12">
                  <c:v>0.8640000000000001</c:v>
                </c:pt>
                <c:pt idx="13">
                  <c:v>0.8640000000000001</c:v>
                </c:pt>
                <c:pt idx="14">
                  <c:v>0.8640000000000001</c:v>
                </c:pt>
                <c:pt idx="15">
                  <c:v>0.8640000000000001</c:v>
                </c:pt>
                <c:pt idx="16">
                  <c:v>0.8640000000000001</c:v>
                </c:pt>
                <c:pt idx="17">
                  <c:v>0.8640000000000001</c:v>
                </c:pt>
                <c:pt idx="18">
                  <c:v>0.8640000000000001</c:v>
                </c:pt>
                <c:pt idx="19">
                  <c:v>0.8640000000000001</c:v>
                </c:pt>
                <c:pt idx="20">
                  <c:v>0.8640000000000001</c:v>
                </c:pt>
                <c:pt idx="21">
                  <c:v>0.8640000000000001</c:v>
                </c:pt>
                <c:pt idx="22">
                  <c:v>0.8640000000000001</c:v>
                </c:pt>
                <c:pt idx="23">
                  <c:v>0.8640000000000001</c:v>
                </c:pt>
                <c:pt idx="24">
                  <c:v>0.8640000000000001</c:v>
                </c:pt>
                <c:pt idx="25">
                  <c:v>0.8640000000000001</c:v>
                </c:pt>
                <c:pt idx="26">
                  <c:v>0.8640000000000001</c:v>
                </c:pt>
                <c:pt idx="27">
                  <c:v>0.8640000000000001</c:v>
                </c:pt>
                <c:pt idx="28">
                  <c:v>0.8640000000000001</c:v>
                </c:pt>
                <c:pt idx="29">
                  <c:v>0.8640000000000001</c:v>
                </c:pt>
                <c:pt idx="30">
                  <c:v>0.8640000000000001</c:v>
                </c:pt>
                <c:pt idx="31">
                  <c:v>0.8640000000000001</c:v>
                </c:pt>
                <c:pt idx="32">
                  <c:v>0.8640000000000001</c:v>
                </c:pt>
                <c:pt idx="33">
                  <c:v>0.8640000000000001</c:v>
                </c:pt>
                <c:pt idx="34">
                  <c:v>0.8640000000000001</c:v>
                </c:pt>
                <c:pt idx="35">
                  <c:v>0.86169600000000024</c:v>
                </c:pt>
                <c:pt idx="36">
                  <c:v>0.83776000000000017</c:v>
                </c:pt>
                <c:pt idx="37">
                  <c:v>0.81511783783783809</c:v>
                </c:pt>
                <c:pt idx="38">
                  <c:v>0.79366736842105279</c:v>
                </c:pt>
                <c:pt idx="39">
                  <c:v>0.77331692307692323</c:v>
                </c:pt>
                <c:pt idx="40">
                  <c:v>0.7539840000000001</c:v>
                </c:pt>
                <c:pt idx="41">
                  <c:v>0.73559414634146369</c:v>
                </c:pt>
                <c:pt idx="42">
                  <c:v>0.71808000000000016</c:v>
                </c:pt>
                <c:pt idx="43">
                  <c:v>0.70138046511627916</c:v>
                </c:pt>
                <c:pt idx="44">
                  <c:v>0.68544000000000005</c:v>
                </c:pt>
                <c:pt idx="45">
                  <c:v>0.67020800000000014</c:v>
                </c:pt>
                <c:pt idx="46">
                  <c:v>0.65563826086956534</c:v>
                </c:pt>
                <c:pt idx="47">
                  <c:v>0.64168851063829802</c:v>
                </c:pt>
                <c:pt idx="48">
                  <c:v>0.62832000000000021</c:v>
                </c:pt>
                <c:pt idx="49">
                  <c:v>0.61549714285714296</c:v>
                </c:pt>
                <c:pt idx="50">
                  <c:v>0.60318720000000015</c:v>
                </c:pt>
                <c:pt idx="51">
                  <c:v>0.59136000000000011</c:v>
                </c:pt>
                <c:pt idx="52">
                  <c:v>0.57998769230769243</c:v>
                </c:pt>
                <c:pt idx="53">
                  <c:v>0.5690445283018869</c:v>
                </c:pt>
                <c:pt idx="54">
                  <c:v>0.55850666666666671</c:v>
                </c:pt>
                <c:pt idx="55">
                  <c:v>0.54835200000000006</c:v>
                </c:pt>
                <c:pt idx="56">
                  <c:v>0.53856000000000004</c:v>
                </c:pt>
                <c:pt idx="57">
                  <c:v>0.52911157894736849</c:v>
                </c:pt>
                <c:pt idx="58">
                  <c:v>0.5199889655172415</c:v>
                </c:pt>
                <c:pt idx="59">
                  <c:v>0.51117559322033912</c:v>
                </c:pt>
                <c:pt idx="60">
                  <c:v>0.5026560000000001</c:v>
                </c:pt>
                <c:pt idx="61">
                  <c:v>0.49441573770491809</c:v>
                </c:pt>
                <c:pt idx="62">
                  <c:v>0.48644129032258077</c:v>
                </c:pt>
                <c:pt idx="63">
                  <c:v>0.47872000000000015</c:v>
                </c:pt>
                <c:pt idx="64">
                  <c:v>0.47124000000000005</c:v>
                </c:pt>
                <c:pt idx="65">
                  <c:v>0.46399015384615394</c:v>
                </c:pt>
                <c:pt idx="66">
                  <c:v>0.45696000000000003</c:v>
                </c:pt>
                <c:pt idx="67">
                  <c:v>0.45013970149253735</c:v>
                </c:pt>
                <c:pt idx="68">
                  <c:v>0.44352000000000003</c:v>
                </c:pt>
                <c:pt idx="69">
                  <c:v>0.43709217391304356</c:v>
                </c:pt>
                <c:pt idx="70">
                  <c:v>0.43084800000000012</c:v>
                </c:pt>
                <c:pt idx="71">
                  <c:v>0.42477971830985928</c:v>
                </c:pt>
                <c:pt idx="72">
                  <c:v>0.41888000000000009</c:v>
                </c:pt>
                <c:pt idx="73">
                  <c:v>0.41314191780821924</c:v>
                </c:pt>
                <c:pt idx="74">
                  <c:v>0.40755891891891904</c:v>
                </c:pt>
                <c:pt idx="75">
                  <c:v>0.40212480000000006</c:v>
                </c:pt>
                <c:pt idx="76">
                  <c:v>0.39683368421052639</c:v>
                </c:pt>
                <c:pt idx="77">
                  <c:v>0.39168000000000008</c:v>
                </c:pt>
                <c:pt idx="78">
                  <c:v>0.38665846153846162</c:v>
                </c:pt>
                <c:pt idx="79">
                  <c:v>0.38176405063291141</c:v>
                </c:pt>
                <c:pt idx="80">
                  <c:v>0.37699200000000005</c:v>
                </c:pt>
                <c:pt idx="81">
                  <c:v>0.37233777777777782</c:v>
                </c:pt>
                <c:pt idx="82">
                  <c:v>0.36779707317073185</c:v>
                </c:pt>
                <c:pt idx="83">
                  <c:v>0.36336578313253021</c:v>
                </c:pt>
                <c:pt idx="84">
                  <c:v>0.35904000000000008</c:v>
                </c:pt>
                <c:pt idx="85">
                  <c:v>0.35481600000000008</c:v>
                </c:pt>
                <c:pt idx="86">
                  <c:v>0.35069023255813958</c:v>
                </c:pt>
                <c:pt idx="87">
                  <c:v>0.34665931034482766</c:v>
                </c:pt>
                <c:pt idx="88">
                  <c:v>0.34272000000000002</c:v>
                </c:pt>
                <c:pt idx="89">
                  <c:v>0.33886921348314614</c:v>
                </c:pt>
                <c:pt idx="90">
                  <c:v>0.33510400000000007</c:v>
                </c:pt>
                <c:pt idx="91">
                  <c:v>0.33142153846153855</c:v>
                </c:pt>
                <c:pt idx="92">
                  <c:v>0.32781913043478267</c:v>
                </c:pt>
                <c:pt idx="93">
                  <c:v>0.32429419354838712</c:v>
                </c:pt>
                <c:pt idx="94">
                  <c:v>0.32084425531914901</c:v>
                </c:pt>
                <c:pt idx="95">
                  <c:v>0.31746694736842113</c:v>
                </c:pt>
                <c:pt idx="96">
                  <c:v>0.31416000000000011</c:v>
                </c:pt>
                <c:pt idx="97">
                  <c:v>0.31092123711340214</c:v>
                </c:pt>
                <c:pt idx="98">
                  <c:v>0.30774857142857148</c:v>
                </c:pt>
                <c:pt idx="99">
                  <c:v>0.30464000000000008</c:v>
                </c:pt>
                <c:pt idx="100">
                  <c:v>0.30159360000000007</c:v>
                </c:pt>
                <c:pt idx="101">
                  <c:v>0.29860752475247532</c:v>
                </c:pt>
                <c:pt idx="102">
                  <c:v>0.29568000000000005</c:v>
                </c:pt>
                <c:pt idx="103">
                  <c:v>0.29280932038834956</c:v>
                </c:pt>
                <c:pt idx="104">
                  <c:v>0.28999384615384621</c:v>
                </c:pt>
                <c:pt idx="105">
                  <c:v>0.28723200000000004</c:v>
                </c:pt>
                <c:pt idx="106">
                  <c:v>0.28452226415094345</c:v>
                </c:pt>
                <c:pt idx="107">
                  <c:v>0.28186317757009349</c:v>
                </c:pt>
                <c:pt idx="108">
                  <c:v>0.27925333333333335</c:v>
                </c:pt>
                <c:pt idx="109">
                  <c:v>0.27669137614678901</c:v>
                </c:pt>
                <c:pt idx="110">
                  <c:v>0.27417600000000003</c:v>
                </c:pt>
                <c:pt idx="111">
                  <c:v>0.27170594594594599</c:v>
                </c:pt>
                <c:pt idx="112">
                  <c:v>0.26928000000000002</c:v>
                </c:pt>
                <c:pt idx="113">
                  <c:v>0.26689699115044258</c:v>
                </c:pt>
                <c:pt idx="114">
                  <c:v>0.26455578947368424</c:v>
                </c:pt>
                <c:pt idx="115">
                  <c:v>0.26225530434782618</c:v>
                </c:pt>
                <c:pt idx="116">
                  <c:v>0.25999448275862075</c:v>
                </c:pt>
                <c:pt idx="117">
                  <c:v>0.2577723076923078</c:v>
                </c:pt>
                <c:pt idx="118">
                  <c:v>0.25558779661016956</c:v>
                </c:pt>
                <c:pt idx="119">
                  <c:v>0.25344000000000005</c:v>
                </c:pt>
                <c:pt idx="120">
                  <c:v>0.25132800000000005</c:v>
                </c:pt>
                <c:pt idx="121">
                  <c:v>0.24925090909090913</c:v>
                </c:pt>
                <c:pt idx="122">
                  <c:v>0.24720786885245905</c:v>
                </c:pt>
                <c:pt idx="123">
                  <c:v>0.24519804878048787</c:v>
                </c:pt>
                <c:pt idx="124">
                  <c:v>0.24322064516129038</c:v>
                </c:pt>
                <c:pt idx="125">
                  <c:v>0.24127488000000005</c:v>
                </c:pt>
                <c:pt idx="126">
                  <c:v>0.23936000000000007</c:v>
                </c:pt>
                <c:pt idx="127">
                  <c:v>0.23747527559055123</c:v>
                </c:pt>
                <c:pt idx="128">
                  <c:v>0.23562000000000002</c:v>
                </c:pt>
                <c:pt idx="129">
                  <c:v>0.23379348837209307</c:v>
                </c:pt>
                <c:pt idx="130">
                  <c:v>0.23199507692307697</c:v>
                </c:pt>
                <c:pt idx="131">
                  <c:v>0.23022412213740462</c:v>
                </c:pt>
                <c:pt idx="132">
                  <c:v>0.22848000000000002</c:v>
                </c:pt>
                <c:pt idx="133">
                  <c:v>0.22676210526315793</c:v>
                </c:pt>
                <c:pt idx="134">
                  <c:v>0.22506985074626867</c:v>
                </c:pt>
                <c:pt idx="135">
                  <c:v>0.22340266666666669</c:v>
                </c:pt>
                <c:pt idx="136">
                  <c:v>0.22176000000000001</c:v>
                </c:pt>
                <c:pt idx="137">
                  <c:v>0.22014131386861316</c:v>
                </c:pt>
                <c:pt idx="138">
                  <c:v>0.21854608695652178</c:v>
                </c:pt>
                <c:pt idx="139">
                  <c:v>0.21697381294964033</c:v>
                </c:pt>
                <c:pt idx="140">
                  <c:v>0.21542400000000006</c:v>
                </c:pt>
                <c:pt idx="141">
                  <c:v>0.213896170212766</c:v>
                </c:pt>
                <c:pt idx="142">
                  <c:v>0.21238985915492964</c:v>
                </c:pt>
                <c:pt idx="143">
                  <c:v>0.21090461538461541</c:v>
                </c:pt>
                <c:pt idx="144">
                  <c:v>0.20944000000000004</c:v>
                </c:pt>
                <c:pt idx="145">
                  <c:v>0.20799558620689659</c:v>
                </c:pt>
                <c:pt idx="146">
                  <c:v>0.20657095890410962</c:v>
                </c:pt>
                <c:pt idx="147">
                  <c:v>0.20516571428571434</c:v>
                </c:pt>
                <c:pt idx="148">
                  <c:v>0.20377945945945952</c:v>
                </c:pt>
                <c:pt idx="149">
                  <c:v>0.20241181208053693</c:v>
                </c:pt>
                <c:pt idx="150">
                  <c:v>0.20106240000000003</c:v>
                </c:pt>
                <c:pt idx="151">
                  <c:v>0.19973086092715234</c:v>
                </c:pt>
                <c:pt idx="152">
                  <c:v>0.1984168421052632</c:v>
                </c:pt>
                <c:pt idx="153">
                  <c:v>0.19712000000000002</c:v>
                </c:pt>
                <c:pt idx="154">
                  <c:v>0.19584000000000004</c:v>
                </c:pt>
                <c:pt idx="155">
                  <c:v>0.19457651612903229</c:v>
                </c:pt>
                <c:pt idx="156">
                  <c:v>0.19332923076923081</c:v>
                </c:pt>
                <c:pt idx="157">
                  <c:v>0.19209783439490449</c:v>
                </c:pt>
                <c:pt idx="158">
                  <c:v>0.19088202531645571</c:v>
                </c:pt>
                <c:pt idx="159">
                  <c:v>0.18968150943396228</c:v>
                </c:pt>
                <c:pt idx="160">
                  <c:v>0.18849600000000002</c:v>
                </c:pt>
                <c:pt idx="161">
                  <c:v>0.18732521739130437</c:v>
                </c:pt>
                <c:pt idx="162">
                  <c:v>0.18616888888888891</c:v>
                </c:pt>
                <c:pt idx="163">
                  <c:v>0.18502674846625772</c:v>
                </c:pt>
                <c:pt idx="164">
                  <c:v>0.18389853658536592</c:v>
                </c:pt>
                <c:pt idx="165">
                  <c:v>0.18278400000000003</c:v>
                </c:pt>
                <c:pt idx="166">
                  <c:v>0.1816828915662651</c:v>
                </c:pt>
                <c:pt idx="167">
                  <c:v>0.18059497005988026</c:v>
                </c:pt>
                <c:pt idx="168">
                  <c:v>0.17952000000000004</c:v>
                </c:pt>
                <c:pt idx="169">
                  <c:v>0.17845775147928999</c:v>
                </c:pt>
                <c:pt idx="170">
                  <c:v>0.17740800000000004</c:v>
                </c:pt>
                <c:pt idx="171">
                  <c:v>0.17637052631578951</c:v>
                </c:pt>
                <c:pt idx="172">
                  <c:v>0.17534511627906979</c:v>
                </c:pt>
                <c:pt idx="173">
                  <c:v>0.17433156069364167</c:v>
                </c:pt>
                <c:pt idx="174">
                  <c:v>0.17332965517241383</c:v>
                </c:pt>
                <c:pt idx="175">
                  <c:v>0.17233920000000003</c:v>
                </c:pt>
                <c:pt idx="176">
                  <c:v>0.17136000000000001</c:v>
                </c:pt>
                <c:pt idx="177">
                  <c:v>0.1703918644067797</c:v>
                </c:pt>
                <c:pt idx="178">
                  <c:v>0.16943460674157307</c:v>
                </c:pt>
                <c:pt idx="179">
                  <c:v>0.16848804469273748</c:v>
                </c:pt>
                <c:pt idx="180">
                  <c:v>0.16755200000000003</c:v>
                </c:pt>
                <c:pt idx="181">
                  <c:v>0.16662629834254147</c:v>
                </c:pt>
                <c:pt idx="182">
                  <c:v>0.16571076923076927</c:v>
                </c:pt>
                <c:pt idx="183">
                  <c:v>0.16480524590163936</c:v>
                </c:pt>
                <c:pt idx="184">
                  <c:v>0.16390956521739133</c:v>
                </c:pt>
                <c:pt idx="185">
                  <c:v>0.16302356756756758</c:v>
                </c:pt>
                <c:pt idx="186">
                  <c:v>0.16214709677419356</c:v>
                </c:pt>
                <c:pt idx="187">
                  <c:v>0.16128000000000003</c:v>
                </c:pt>
                <c:pt idx="188">
                  <c:v>0.1604221276595745</c:v>
                </c:pt>
                <c:pt idx="189">
                  <c:v>0.15957333333333337</c:v>
                </c:pt>
                <c:pt idx="190">
                  <c:v>0.15873347368421056</c:v>
                </c:pt>
                <c:pt idx="191">
                  <c:v>0.1579024083769634</c:v>
                </c:pt>
                <c:pt idx="192">
                  <c:v>0.15708000000000005</c:v>
                </c:pt>
                <c:pt idx="193">
                  <c:v>0.15626611398963733</c:v>
                </c:pt>
                <c:pt idx="194">
                  <c:v>0.15546061855670107</c:v>
                </c:pt>
                <c:pt idx="195">
                  <c:v>0.15466338461538465</c:v>
                </c:pt>
                <c:pt idx="196">
                  <c:v>0.15387428571428574</c:v>
                </c:pt>
                <c:pt idx="197">
                  <c:v>0.15309319796954318</c:v>
                </c:pt>
                <c:pt idx="198">
                  <c:v>0.15232000000000004</c:v>
                </c:pt>
                <c:pt idx="199">
                  <c:v>0.15155457286432164</c:v>
                </c:pt>
                <c:pt idx="200">
                  <c:v>0.15079680000000004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56-4B6F-B9ED-720082E67FFD}"/>
            </c:ext>
          </c:extLst>
        </c:ser>
        <c:ser>
          <c:idx val="1"/>
          <c:order val="1"/>
          <c:tx>
            <c:strRef>
              <c:f>'Datos NEC - Espectro'!$I$1</c:f>
              <c:strCache>
                <c:ptCount val="1"/>
                <c:pt idx="0">
                  <c:v>Sa/R (g)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'Datos NEC - Espectro'!$H$2:$H$202</c:f>
              <c:numCache>
                <c:formatCode>0.000</c:formatCode>
                <c:ptCount val="20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  <c:pt idx="73">
                  <c:v>1.46</c:v>
                </c:pt>
                <c:pt idx="74">
                  <c:v>1.48</c:v>
                </c:pt>
                <c:pt idx="75">
                  <c:v>1.5</c:v>
                </c:pt>
                <c:pt idx="76">
                  <c:v>1.52</c:v>
                </c:pt>
                <c:pt idx="77">
                  <c:v>1.54</c:v>
                </c:pt>
                <c:pt idx="78">
                  <c:v>1.56</c:v>
                </c:pt>
                <c:pt idx="79">
                  <c:v>1.58</c:v>
                </c:pt>
                <c:pt idx="80">
                  <c:v>1.6</c:v>
                </c:pt>
                <c:pt idx="81">
                  <c:v>1.62</c:v>
                </c:pt>
                <c:pt idx="82">
                  <c:v>1.64</c:v>
                </c:pt>
                <c:pt idx="83">
                  <c:v>1.66</c:v>
                </c:pt>
                <c:pt idx="84">
                  <c:v>1.68</c:v>
                </c:pt>
                <c:pt idx="85">
                  <c:v>1.7</c:v>
                </c:pt>
                <c:pt idx="86">
                  <c:v>1.72</c:v>
                </c:pt>
                <c:pt idx="87">
                  <c:v>1.74</c:v>
                </c:pt>
                <c:pt idx="88">
                  <c:v>1.76</c:v>
                </c:pt>
                <c:pt idx="89">
                  <c:v>1.78</c:v>
                </c:pt>
                <c:pt idx="90">
                  <c:v>1.8</c:v>
                </c:pt>
                <c:pt idx="91">
                  <c:v>1.82</c:v>
                </c:pt>
                <c:pt idx="92">
                  <c:v>1.84</c:v>
                </c:pt>
                <c:pt idx="93">
                  <c:v>1.86</c:v>
                </c:pt>
                <c:pt idx="94">
                  <c:v>1.88</c:v>
                </c:pt>
                <c:pt idx="95">
                  <c:v>1.9</c:v>
                </c:pt>
                <c:pt idx="96">
                  <c:v>1.92</c:v>
                </c:pt>
                <c:pt idx="97">
                  <c:v>1.94</c:v>
                </c:pt>
                <c:pt idx="98">
                  <c:v>1.96</c:v>
                </c:pt>
                <c:pt idx="99">
                  <c:v>1.98</c:v>
                </c:pt>
                <c:pt idx="100">
                  <c:v>2</c:v>
                </c:pt>
                <c:pt idx="101">
                  <c:v>2.02</c:v>
                </c:pt>
                <c:pt idx="102">
                  <c:v>2.04</c:v>
                </c:pt>
                <c:pt idx="103">
                  <c:v>2.06</c:v>
                </c:pt>
                <c:pt idx="104">
                  <c:v>2.08</c:v>
                </c:pt>
                <c:pt idx="105">
                  <c:v>2.1</c:v>
                </c:pt>
                <c:pt idx="106">
                  <c:v>2.12</c:v>
                </c:pt>
                <c:pt idx="107">
                  <c:v>2.14</c:v>
                </c:pt>
                <c:pt idx="108">
                  <c:v>2.16</c:v>
                </c:pt>
                <c:pt idx="109">
                  <c:v>2.1800000000000002</c:v>
                </c:pt>
                <c:pt idx="110">
                  <c:v>2.2000000000000002</c:v>
                </c:pt>
                <c:pt idx="111">
                  <c:v>2.2200000000000002</c:v>
                </c:pt>
                <c:pt idx="112">
                  <c:v>2.2400000000000002</c:v>
                </c:pt>
                <c:pt idx="113">
                  <c:v>2.2599999999999998</c:v>
                </c:pt>
                <c:pt idx="114">
                  <c:v>2.2799999999999998</c:v>
                </c:pt>
                <c:pt idx="115">
                  <c:v>2.2999999999999998</c:v>
                </c:pt>
                <c:pt idx="116">
                  <c:v>2.3199999999999998</c:v>
                </c:pt>
                <c:pt idx="117">
                  <c:v>2.34</c:v>
                </c:pt>
                <c:pt idx="118">
                  <c:v>2.36</c:v>
                </c:pt>
                <c:pt idx="119">
                  <c:v>2.38</c:v>
                </c:pt>
                <c:pt idx="120">
                  <c:v>2.4</c:v>
                </c:pt>
                <c:pt idx="121">
                  <c:v>2.42</c:v>
                </c:pt>
                <c:pt idx="122">
                  <c:v>2.44</c:v>
                </c:pt>
                <c:pt idx="123">
                  <c:v>2.46</c:v>
                </c:pt>
                <c:pt idx="124">
                  <c:v>2.48</c:v>
                </c:pt>
                <c:pt idx="125">
                  <c:v>2.5</c:v>
                </c:pt>
                <c:pt idx="126">
                  <c:v>2.52</c:v>
                </c:pt>
                <c:pt idx="127">
                  <c:v>2.54</c:v>
                </c:pt>
                <c:pt idx="128">
                  <c:v>2.56</c:v>
                </c:pt>
                <c:pt idx="129">
                  <c:v>2.58</c:v>
                </c:pt>
                <c:pt idx="130">
                  <c:v>2.6</c:v>
                </c:pt>
                <c:pt idx="131">
                  <c:v>2.62</c:v>
                </c:pt>
                <c:pt idx="132">
                  <c:v>2.64</c:v>
                </c:pt>
                <c:pt idx="133">
                  <c:v>2.66</c:v>
                </c:pt>
                <c:pt idx="134">
                  <c:v>2.68</c:v>
                </c:pt>
                <c:pt idx="135">
                  <c:v>2.7</c:v>
                </c:pt>
                <c:pt idx="136">
                  <c:v>2.72</c:v>
                </c:pt>
                <c:pt idx="137">
                  <c:v>2.74</c:v>
                </c:pt>
                <c:pt idx="138">
                  <c:v>2.76</c:v>
                </c:pt>
                <c:pt idx="139">
                  <c:v>2.78</c:v>
                </c:pt>
                <c:pt idx="140">
                  <c:v>2.8</c:v>
                </c:pt>
                <c:pt idx="141">
                  <c:v>2.82</c:v>
                </c:pt>
                <c:pt idx="142">
                  <c:v>2.84</c:v>
                </c:pt>
                <c:pt idx="143">
                  <c:v>2.86</c:v>
                </c:pt>
                <c:pt idx="144">
                  <c:v>2.88</c:v>
                </c:pt>
                <c:pt idx="145">
                  <c:v>2.9</c:v>
                </c:pt>
                <c:pt idx="146">
                  <c:v>2.92</c:v>
                </c:pt>
                <c:pt idx="147">
                  <c:v>2.94</c:v>
                </c:pt>
                <c:pt idx="148">
                  <c:v>2.96</c:v>
                </c:pt>
                <c:pt idx="149">
                  <c:v>2.98</c:v>
                </c:pt>
                <c:pt idx="150">
                  <c:v>3</c:v>
                </c:pt>
                <c:pt idx="151">
                  <c:v>3.02</c:v>
                </c:pt>
                <c:pt idx="152">
                  <c:v>3.04</c:v>
                </c:pt>
                <c:pt idx="153">
                  <c:v>3.06</c:v>
                </c:pt>
                <c:pt idx="154">
                  <c:v>3.08</c:v>
                </c:pt>
                <c:pt idx="155">
                  <c:v>3.1</c:v>
                </c:pt>
                <c:pt idx="156">
                  <c:v>3.12</c:v>
                </c:pt>
                <c:pt idx="157">
                  <c:v>3.14</c:v>
                </c:pt>
                <c:pt idx="158">
                  <c:v>3.16</c:v>
                </c:pt>
                <c:pt idx="159">
                  <c:v>3.18</c:v>
                </c:pt>
                <c:pt idx="160">
                  <c:v>3.2</c:v>
                </c:pt>
                <c:pt idx="161">
                  <c:v>3.22</c:v>
                </c:pt>
                <c:pt idx="162">
                  <c:v>3.24</c:v>
                </c:pt>
                <c:pt idx="163">
                  <c:v>3.26</c:v>
                </c:pt>
                <c:pt idx="164">
                  <c:v>3.28</c:v>
                </c:pt>
                <c:pt idx="165">
                  <c:v>3.3</c:v>
                </c:pt>
                <c:pt idx="166">
                  <c:v>3.32</c:v>
                </c:pt>
                <c:pt idx="167">
                  <c:v>3.34</c:v>
                </c:pt>
                <c:pt idx="168">
                  <c:v>3.36</c:v>
                </c:pt>
                <c:pt idx="169">
                  <c:v>3.38</c:v>
                </c:pt>
                <c:pt idx="170">
                  <c:v>3.4</c:v>
                </c:pt>
                <c:pt idx="171">
                  <c:v>3.42</c:v>
                </c:pt>
                <c:pt idx="172">
                  <c:v>3.44</c:v>
                </c:pt>
                <c:pt idx="173">
                  <c:v>3.46</c:v>
                </c:pt>
                <c:pt idx="174">
                  <c:v>3.48</c:v>
                </c:pt>
                <c:pt idx="175">
                  <c:v>3.5</c:v>
                </c:pt>
                <c:pt idx="176">
                  <c:v>3.52</c:v>
                </c:pt>
                <c:pt idx="177">
                  <c:v>3.54</c:v>
                </c:pt>
                <c:pt idx="178">
                  <c:v>3.56</c:v>
                </c:pt>
                <c:pt idx="179">
                  <c:v>3.58</c:v>
                </c:pt>
                <c:pt idx="180">
                  <c:v>3.6</c:v>
                </c:pt>
                <c:pt idx="181">
                  <c:v>3.62</c:v>
                </c:pt>
                <c:pt idx="182">
                  <c:v>3.64</c:v>
                </c:pt>
                <c:pt idx="183">
                  <c:v>3.66</c:v>
                </c:pt>
                <c:pt idx="184">
                  <c:v>3.68</c:v>
                </c:pt>
                <c:pt idx="185">
                  <c:v>3.7</c:v>
                </c:pt>
                <c:pt idx="186">
                  <c:v>3.72</c:v>
                </c:pt>
                <c:pt idx="187">
                  <c:v>3.74</c:v>
                </c:pt>
                <c:pt idx="188">
                  <c:v>3.76</c:v>
                </c:pt>
                <c:pt idx="189">
                  <c:v>3.78</c:v>
                </c:pt>
                <c:pt idx="190">
                  <c:v>3.8</c:v>
                </c:pt>
                <c:pt idx="191">
                  <c:v>3.82</c:v>
                </c:pt>
                <c:pt idx="192">
                  <c:v>3.84</c:v>
                </c:pt>
                <c:pt idx="193">
                  <c:v>3.86</c:v>
                </c:pt>
                <c:pt idx="194">
                  <c:v>3.88</c:v>
                </c:pt>
                <c:pt idx="195">
                  <c:v>3.9</c:v>
                </c:pt>
                <c:pt idx="196">
                  <c:v>3.92</c:v>
                </c:pt>
                <c:pt idx="197">
                  <c:v>3.94</c:v>
                </c:pt>
                <c:pt idx="198">
                  <c:v>3.96</c:v>
                </c:pt>
                <c:pt idx="199">
                  <c:v>3.98</c:v>
                </c:pt>
                <c:pt idx="200">
                  <c:v>4</c:v>
                </c:pt>
              </c:numCache>
            </c:numRef>
          </c:xVal>
          <c:yVal>
            <c:numRef>
              <c:f>'Datos NEC - Espectro'!$I$2:$I$202</c:f>
              <c:numCache>
                <c:formatCode>0.000</c:formatCode>
                <c:ptCount val="201"/>
                <c:pt idx="0">
                  <c:v>7.407407407407407E-2</c:v>
                </c:pt>
                <c:pt idx="1">
                  <c:v>8.3411142234671637E-2</c:v>
                </c:pt>
                <c:pt idx="2">
                  <c:v>9.2748210395269218E-2</c:v>
                </c:pt>
                <c:pt idx="3">
                  <c:v>0.10208527855586678</c:v>
                </c:pt>
                <c:pt idx="4">
                  <c:v>0.11142234671646435</c:v>
                </c:pt>
                <c:pt idx="5">
                  <c:v>0.12075941487706193</c:v>
                </c:pt>
                <c:pt idx="6" formatCode="0.0000">
                  <c:v>0.1300964830376595</c:v>
                </c:pt>
                <c:pt idx="7">
                  <c:v>0.13333333333333333</c:v>
                </c:pt>
                <c:pt idx="8">
                  <c:v>0.13333333333333333</c:v>
                </c:pt>
                <c:pt idx="9">
                  <c:v>0.13333333333333333</c:v>
                </c:pt>
                <c:pt idx="10">
                  <c:v>0.13333333333333333</c:v>
                </c:pt>
                <c:pt idx="11">
                  <c:v>0.13333333333333333</c:v>
                </c:pt>
                <c:pt idx="12">
                  <c:v>0.13333333333333333</c:v>
                </c:pt>
                <c:pt idx="13">
                  <c:v>0.13333333333333333</c:v>
                </c:pt>
                <c:pt idx="14">
                  <c:v>0.13333333333333333</c:v>
                </c:pt>
                <c:pt idx="15">
                  <c:v>0.13333333333333333</c:v>
                </c:pt>
                <c:pt idx="16">
                  <c:v>0.13333333333333333</c:v>
                </c:pt>
                <c:pt idx="17">
                  <c:v>0.13333333333333333</c:v>
                </c:pt>
                <c:pt idx="18">
                  <c:v>0.13333333333333333</c:v>
                </c:pt>
                <c:pt idx="19">
                  <c:v>0.13333333333333333</c:v>
                </c:pt>
                <c:pt idx="20">
                  <c:v>0.13333333333333333</c:v>
                </c:pt>
                <c:pt idx="21">
                  <c:v>0.13333333333333333</c:v>
                </c:pt>
                <c:pt idx="22">
                  <c:v>0.13333333333333333</c:v>
                </c:pt>
                <c:pt idx="23">
                  <c:v>0.13333333333333333</c:v>
                </c:pt>
                <c:pt idx="24">
                  <c:v>0.13333333333333333</c:v>
                </c:pt>
                <c:pt idx="25">
                  <c:v>0.13333333333333333</c:v>
                </c:pt>
                <c:pt idx="26">
                  <c:v>0.13333333333333333</c:v>
                </c:pt>
                <c:pt idx="27">
                  <c:v>0.13333333333333333</c:v>
                </c:pt>
                <c:pt idx="28">
                  <c:v>0.13333333333333333</c:v>
                </c:pt>
                <c:pt idx="29">
                  <c:v>0.13333333333333333</c:v>
                </c:pt>
                <c:pt idx="30">
                  <c:v>0.13333333333333333</c:v>
                </c:pt>
                <c:pt idx="31">
                  <c:v>0.13333333333333333</c:v>
                </c:pt>
                <c:pt idx="32">
                  <c:v>0.13333333333333333</c:v>
                </c:pt>
                <c:pt idx="33">
                  <c:v>0.13333333333333333</c:v>
                </c:pt>
                <c:pt idx="34">
                  <c:v>0.13333333333333333</c:v>
                </c:pt>
                <c:pt idx="35">
                  <c:v>0.13297777777777781</c:v>
                </c:pt>
                <c:pt idx="36">
                  <c:v>0.12928395061728395</c:v>
                </c:pt>
                <c:pt idx="37">
                  <c:v>0.12578978978978983</c:v>
                </c:pt>
                <c:pt idx="38">
                  <c:v>0.1224795321637427</c:v>
                </c:pt>
                <c:pt idx="39">
                  <c:v>0.11933903133903136</c:v>
                </c:pt>
                <c:pt idx="40">
                  <c:v>0.11635555555555556</c:v>
                </c:pt>
                <c:pt idx="41">
                  <c:v>0.1135176151761518</c:v>
                </c:pt>
                <c:pt idx="42">
                  <c:v>0.11081481481481484</c:v>
                </c:pt>
                <c:pt idx="43">
                  <c:v>0.10823772609819123</c:v>
                </c:pt>
                <c:pt idx="44">
                  <c:v>0.10577777777777778</c:v>
                </c:pt>
                <c:pt idx="45">
                  <c:v>0.10342716049382718</c:v>
                </c:pt>
                <c:pt idx="46">
                  <c:v>0.10117874396135267</c:v>
                </c:pt>
                <c:pt idx="47">
                  <c:v>9.9026004728132402E-2</c:v>
                </c:pt>
                <c:pt idx="48">
                  <c:v>9.6962962962962987E-2</c:v>
                </c:pt>
                <c:pt idx="49">
                  <c:v>9.498412698412699E-2</c:v>
                </c:pt>
                <c:pt idx="50">
                  <c:v>9.3084444444444456E-2</c:v>
                </c:pt>
                <c:pt idx="51">
                  <c:v>9.1259259259259276E-2</c:v>
                </c:pt>
                <c:pt idx="52">
                  <c:v>8.9504273504273521E-2</c:v>
                </c:pt>
                <c:pt idx="53">
                  <c:v>8.7815513626834388E-2</c:v>
                </c:pt>
                <c:pt idx="54">
                  <c:v>8.6189300411522632E-2</c:v>
                </c:pt>
                <c:pt idx="55">
                  <c:v>8.4622222222222224E-2</c:v>
                </c:pt>
                <c:pt idx="56">
                  <c:v>8.3111111111111108E-2</c:v>
                </c:pt>
                <c:pt idx="57">
                  <c:v>8.165302144249513E-2</c:v>
                </c:pt>
                <c:pt idx="58">
                  <c:v>8.0245210727969363E-2</c:v>
                </c:pt>
                <c:pt idx="59">
                  <c:v>7.8885122410546155E-2</c:v>
                </c:pt>
                <c:pt idx="60">
                  <c:v>7.7570370370370387E-2</c:v>
                </c:pt>
                <c:pt idx="61">
                  <c:v>7.629872495446266E-2</c:v>
                </c:pt>
                <c:pt idx="62">
                  <c:v>7.5068100358422957E-2</c:v>
                </c:pt>
                <c:pt idx="63">
                  <c:v>7.3876543209876563E-2</c:v>
                </c:pt>
                <c:pt idx="64">
                  <c:v>7.272222222222223E-2</c:v>
                </c:pt>
                <c:pt idx="65">
                  <c:v>7.160341880341882E-2</c:v>
                </c:pt>
                <c:pt idx="66">
                  <c:v>7.0518518518518522E-2</c:v>
                </c:pt>
                <c:pt idx="67">
                  <c:v>6.9466003316749583E-2</c:v>
                </c:pt>
                <c:pt idx="68">
                  <c:v>6.8444444444444447E-2</c:v>
                </c:pt>
                <c:pt idx="69">
                  <c:v>6.745249597423511E-2</c:v>
                </c:pt>
                <c:pt idx="70">
                  <c:v>6.6488888888888903E-2</c:v>
                </c:pt>
                <c:pt idx="71">
                  <c:v>6.5552425665101735E-2</c:v>
                </c:pt>
                <c:pt idx="72">
                  <c:v>6.4641975308641977E-2</c:v>
                </c:pt>
                <c:pt idx="73">
                  <c:v>6.3756468797564692E-2</c:v>
                </c:pt>
                <c:pt idx="74">
                  <c:v>6.2894894894894915E-2</c:v>
                </c:pt>
                <c:pt idx="75">
                  <c:v>6.2056296296296304E-2</c:v>
                </c:pt>
                <c:pt idx="76">
                  <c:v>6.1239766081871351E-2</c:v>
                </c:pt>
                <c:pt idx="77">
                  <c:v>6.0444444444444453E-2</c:v>
                </c:pt>
                <c:pt idx="78">
                  <c:v>5.9669515669515678E-2</c:v>
                </c:pt>
                <c:pt idx="79">
                  <c:v>5.8914205344585094E-2</c:v>
                </c:pt>
                <c:pt idx="80">
                  <c:v>5.817777777777778E-2</c:v>
                </c:pt>
                <c:pt idx="81">
                  <c:v>5.7459533607681759E-2</c:v>
                </c:pt>
                <c:pt idx="82">
                  <c:v>5.6758807588075902E-2</c:v>
                </c:pt>
                <c:pt idx="83">
                  <c:v>5.6074966532797865E-2</c:v>
                </c:pt>
                <c:pt idx="84">
                  <c:v>5.5407407407407419E-2</c:v>
                </c:pt>
                <c:pt idx="85">
                  <c:v>5.4755555555555564E-2</c:v>
                </c:pt>
                <c:pt idx="86">
                  <c:v>5.4118863049095613E-2</c:v>
                </c:pt>
                <c:pt idx="87">
                  <c:v>5.3496807151979575E-2</c:v>
                </c:pt>
                <c:pt idx="88">
                  <c:v>5.2888888888888888E-2</c:v>
                </c:pt>
                <c:pt idx="89">
                  <c:v>5.2294631710362055E-2</c:v>
                </c:pt>
                <c:pt idx="90">
                  <c:v>5.1713580246913589E-2</c:v>
                </c:pt>
                <c:pt idx="91">
                  <c:v>5.1145299145299153E-2</c:v>
                </c:pt>
                <c:pt idx="92">
                  <c:v>5.0589371980676333E-2</c:v>
                </c:pt>
                <c:pt idx="93">
                  <c:v>5.0045400238948629E-2</c:v>
                </c:pt>
                <c:pt idx="94">
                  <c:v>4.9513002364066201E-2</c:v>
                </c:pt>
                <c:pt idx="95">
                  <c:v>4.8991812865497086E-2</c:v>
                </c:pt>
                <c:pt idx="96">
                  <c:v>4.8481481481481493E-2</c:v>
                </c:pt>
                <c:pt idx="97">
                  <c:v>4.7981672394043537E-2</c:v>
                </c:pt>
                <c:pt idx="98">
                  <c:v>4.7492063492063495E-2</c:v>
                </c:pt>
                <c:pt idx="99">
                  <c:v>4.7012345679012357E-2</c:v>
                </c:pt>
                <c:pt idx="100">
                  <c:v>4.6542222222222228E-2</c:v>
                </c:pt>
                <c:pt idx="101">
                  <c:v>4.6081408140814087E-2</c:v>
                </c:pt>
                <c:pt idx="102">
                  <c:v>4.5629629629629638E-2</c:v>
                </c:pt>
                <c:pt idx="103">
                  <c:v>4.5186623516720606E-2</c:v>
                </c:pt>
                <c:pt idx="104">
                  <c:v>4.4752136752136761E-2</c:v>
                </c:pt>
                <c:pt idx="105">
                  <c:v>4.4325925925925928E-2</c:v>
                </c:pt>
                <c:pt idx="106">
                  <c:v>4.3907756813417194E-2</c:v>
                </c:pt>
                <c:pt idx="107">
                  <c:v>4.3497403946002079E-2</c:v>
                </c:pt>
                <c:pt idx="108">
                  <c:v>4.3094650205761316E-2</c:v>
                </c:pt>
                <c:pt idx="109">
                  <c:v>4.2699286442405712E-2</c:v>
                </c:pt>
                <c:pt idx="110">
                  <c:v>4.2311111111111112E-2</c:v>
                </c:pt>
                <c:pt idx="111">
                  <c:v>4.1929929929929936E-2</c:v>
                </c:pt>
                <c:pt idx="112">
                  <c:v>4.1555555555555554E-2</c:v>
                </c:pt>
                <c:pt idx="113">
                  <c:v>4.1187807276302862E-2</c:v>
                </c:pt>
                <c:pt idx="114">
                  <c:v>4.0826510721247565E-2</c:v>
                </c:pt>
                <c:pt idx="115">
                  <c:v>4.0471497584541077E-2</c:v>
                </c:pt>
                <c:pt idx="116">
                  <c:v>4.0122605363984681E-2</c:v>
                </c:pt>
                <c:pt idx="117">
                  <c:v>3.9779677113010461E-2</c:v>
                </c:pt>
                <c:pt idx="118">
                  <c:v>3.9442561205273077E-2</c:v>
                </c:pt>
                <c:pt idx="119">
                  <c:v>3.9111111111111117E-2</c:v>
                </c:pt>
                <c:pt idx="120">
                  <c:v>3.8785185185185193E-2</c:v>
                </c:pt>
                <c:pt idx="121">
                  <c:v>3.8464646464646465E-2</c:v>
                </c:pt>
                <c:pt idx="122">
                  <c:v>3.814936247723133E-2</c:v>
                </c:pt>
                <c:pt idx="123">
                  <c:v>3.7839205058717261E-2</c:v>
                </c:pt>
                <c:pt idx="124">
                  <c:v>3.7534050179211478E-2</c:v>
                </c:pt>
                <c:pt idx="125">
                  <c:v>3.7233777777777782E-2</c:v>
                </c:pt>
                <c:pt idx="126">
                  <c:v>3.6938271604938282E-2</c:v>
                </c:pt>
                <c:pt idx="127">
                  <c:v>3.6647419072615928E-2</c:v>
                </c:pt>
                <c:pt idx="128">
                  <c:v>3.6361111111111115E-2</c:v>
                </c:pt>
                <c:pt idx="129">
                  <c:v>3.6079242032730413E-2</c:v>
                </c:pt>
                <c:pt idx="130">
                  <c:v>3.580170940170941E-2</c:v>
                </c:pt>
                <c:pt idx="131">
                  <c:v>3.5528413910093301E-2</c:v>
                </c:pt>
                <c:pt idx="132">
                  <c:v>3.5259259259259261E-2</c:v>
                </c:pt>
                <c:pt idx="133">
                  <c:v>3.4994152046783626E-2</c:v>
                </c:pt>
                <c:pt idx="134">
                  <c:v>3.4733001658374792E-2</c:v>
                </c:pt>
                <c:pt idx="135">
                  <c:v>3.4475720164609057E-2</c:v>
                </c:pt>
                <c:pt idx="136">
                  <c:v>3.4222222222222223E-2</c:v>
                </c:pt>
                <c:pt idx="137">
                  <c:v>3.3972424979724247E-2</c:v>
                </c:pt>
                <c:pt idx="138">
                  <c:v>3.3726247987117555E-2</c:v>
                </c:pt>
                <c:pt idx="139">
                  <c:v>3.3483613109512395E-2</c:v>
                </c:pt>
                <c:pt idx="140">
                  <c:v>3.3244444444444451E-2</c:v>
                </c:pt>
                <c:pt idx="141">
                  <c:v>3.3008668242710801E-2</c:v>
                </c:pt>
                <c:pt idx="142">
                  <c:v>3.2776212832550868E-2</c:v>
                </c:pt>
                <c:pt idx="143">
                  <c:v>3.2547008547008552E-2</c:v>
                </c:pt>
                <c:pt idx="144">
                  <c:v>3.2320987654320989E-2</c:v>
                </c:pt>
                <c:pt idx="145">
                  <c:v>3.2098084291187746E-2</c:v>
                </c:pt>
                <c:pt idx="146">
                  <c:v>3.1878234398782346E-2</c:v>
                </c:pt>
                <c:pt idx="147">
                  <c:v>3.1661375661375668E-2</c:v>
                </c:pt>
                <c:pt idx="148">
                  <c:v>3.1447447447447457E-2</c:v>
                </c:pt>
                <c:pt idx="149">
                  <c:v>3.123639075316928E-2</c:v>
                </c:pt>
                <c:pt idx="150">
                  <c:v>3.1028148148148152E-2</c:v>
                </c:pt>
                <c:pt idx="151">
                  <c:v>3.0822663723325976E-2</c:v>
                </c:pt>
                <c:pt idx="152">
                  <c:v>3.0619883040935676E-2</c:v>
                </c:pt>
                <c:pt idx="153">
                  <c:v>3.0419753086419754E-2</c:v>
                </c:pt>
                <c:pt idx="154">
                  <c:v>3.0222222222222227E-2</c:v>
                </c:pt>
                <c:pt idx="155">
                  <c:v>3.0027240143369178E-2</c:v>
                </c:pt>
                <c:pt idx="156">
                  <c:v>2.9834757834757839E-2</c:v>
                </c:pt>
                <c:pt idx="157">
                  <c:v>2.9644727530077852E-2</c:v>
                </c:pt>
                <c:pt idx="158">
                  <c:v>2.9457102672292547E-2</c:v>
                </c:pt>
                <c:pt idx="159">
                  <c:v>2.927183787561146E-2</c:v>
                </c:pt>
                <c:pt idx="160">
                  <c:v>2.908888888888889E-2</c:v>
                </c:pt>
                <c:pt idx="161">
                  <c:v>2.8908212560386476E-2</c:v>
                </c:pt>
                <c:pt idx="162">
                  <c:v>2.872976680384088E-2</c:v>
                </c:pt>
                <c:pt idx="163">
                  <c:v>2.855351056578051E-2</c:v>
                </c:pt>
                <c:pt idx="164">
                  <c:v>2.8379403794037951E-2</c:v>
                </c:pt>
                <c:pt idx="165">
                  <c:v>2.820740740740741E-2</c:v>
                </c:pt>
                <c:pt idx="166">
                  <c:v>2.8037483266398933E-2</c:v>
                </c:pt>
                <c:pt idx="167">
                  <c:v>2.7869594145043249E-2</c:v>
                </c:pt>
                <c:pt idx="168">
                  <c:v>2.770370370370371E-2</c:v>
                </c:pt>
                <c:pt idx="169">
                  <c:v>2.7539776462853393E-2</c:v>
                </c:pt>
                <c:pt idx="170">
                  <c:v>2.7377777777777782E-2</c:v>
                </c:pt>
                <c:pt idx="171">
                  <c:v>2.7217673814165046E-2</c:v>
                </c:pt>
                <c:pt idx="172">
                  <c:v>2.7059431524547806E-2</c:v>
                </c:pt>
                <c:pt idx="173">
                  <c:v>2.6903018625561985E-2</c:v>
                </c:pt>
                <c:pt idx="174">
                  <c:v>2.6748403575989788E-2</c:v>
                </c:pt>
                <c:pt idx="175">
                  <c:v>2.6595555555555556E-2</c:v>
                </c:pt>
                <c:pt idx="176">
                  <c:v>2.6444444444444444E-2</c:v>
                </c:pt>
                <c:pt idx="177">
                  <c:v>2.6295040803515385E-2</c:v>
                </c:pt>
                <c:pt idx="178">
                  <c:v>2.6147315855181028E-2</c:v>
                </c:pt>
                <c:pt idx="179">
                  <c:v>2.6001241464928621E-2</c:v>
                </c:pt>
                <c:pt idx="180">
                  <c:v>2.5856790123456794E-2</c:v>
                </c:pt>
                <c:pt idx="181">
                  <c:v>2.5713934929404547E-2</c:v>
                </c:pt>
                <c:pt idx="182">
                  <c:v>2.5572649572649576E-2</c:v>
                </c:pt>
                <c:pt idx="183">
                  <c:v>2.5432908318154222E-2</c:v>
                </c:pt>
                <c:pt idx="184">
                  <c:v>2.5294685990338166E-2</c:v>
                </c:pt>
                <c:pt idx="185">
                  <c:v>2.5157957957957958E-2</c:v>
                </c:pt>
                <c:pt idx="186">
                  <c:v>2.5022700119474314E-2</c:v>
                </c:pt>
                <c:pt idx="187">
                  <c:v>2.4888888888888891E-2</c:v>
                </c:pt>
                <c:pt idx="188">
                  <c:v>2.4756501182033101E-2</c:v>
                </c:pt>
                <c:pt idx="189">
                  <c:v>2.4625514403292185E-2</c:v>
                </c:pt>
                <c:pt idx="190">
                  <c:v>2.4495906432748543E-2</c:v>
                </c:pt>
                <c:pt idx="191">
                  <c:v>2.4367655613728917E-2</c:v>
                </c:pt>
                <c:pt idx="192">
                  <c:v>2.4240740740740747E-2</c:v>
                </c:pt>
                <c:pt idx="193">
                  <c:v>2.4115141047783537E-2</c:v>
                </c:pt>
                <c:pt idx="194">
                  <c:v>2.3990836197021768E-2</c:v>
                </c:pt>
                <c:pt idx="195">
                  <c:v>2.3867806267806272E-2</c:v>
                </c:pt>
                <c:pt idx="196">
                  <c:v>2.3746031746031748E-2</c:v>
                </c:pt>
                <c:pt idx="197">
                  <c:v>2.3625493513818391E-2</c:v>
                </c:pt>
                <c:pt idx="198">
                  <c:v>2.3506172839506179E-2</c:v>
                </c:pt>
                <c:pt idx="199">
                  <c:v>2.3388051367950868E-2</c:v>
                </c:pt>
                <c:pt idx="200">
                  <c:v>2.3271111111111114E-2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FE5-4082-B2EB-F88B0DAC4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6652368"/>
        <c:axId val="2056654448"/>
      </c:scatterChart>
      <c:valAx>
        <c:axId val="2056652368"/>
        <c:scaling>
          <c:orientation val="minMax"/>
          <c:max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echnic" panose="00000400000000000000" pitchFamily="2" charset="2"/>
                    <a:ea typeface="+mn-ea"/>
                    <a:cs typeface="+mn-cs"/>
                  </a:defRPr>
                </a:pPr>
                <a:r>
                  <a:rPr lang="es-US">
                    <a:latin typeface="Technic" panose="00000400000000000000" pitchFamily="2" charset="2"/>
                  </a:rPr>
                  <a:t>T(s)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echnic" panose="00000400000000000000" pitchFamily="2" charset="2"/>
                  <a:ea typeface="+mn-ea"/>
                  <a:cs typeface="+mn-cs"/>
                </a:defRPr>
              </a:pPr>
              <a:endParaRPr lang="LID4096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echnic" panose="00000400000000000000" pitchFamily="2" charset="2"/>
                <a:ea typeface="+mn-ea"/>
                <a:cs typeface="+mn-cs"/>
              </a:defRPr>
            </a:pPr>
            <a:endParaRPr lang="LID4096"/>
          </a:p>
        </c:txPr>
        <c:crossAx val="2056654448"/>
        <c:crosses val="autoZero"/>
        <c:crossBetween val="midCat"/>
      </c:valAx>
      <c:valAx>
        <c:axId val="205665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echnic" panose="00000400000000000000" pitchFamily="2" charset="2"/>
                    <a:ea typeface="+mn-ea"/>
                    <a:cs typeface="+mn-cs"/>
                  </a:defRPr>
                </a:pPr>
                <a:r>
                  <a:rPr lang="es-US">
                    <a:latin typeface="Technic" panose="00000400000000000000" pitchFamily="2" charset="2"/>
                  </a:rPr>
                  <a:t>Sa(g)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echnic" panose="00000400000000000000" pitchFamily="2" charset="2"/>
                  <a:ea typeface="+mn-ea"/>
                  <a:cs typeface="+mn-cs"/>
                </a:defRPr>
              </a:pPr>
              <a:endParaRPr lang="LID4096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echnic" panose="00000400000000000000" pitchFamily="2" charset="2"/>
                <a:ea typeface="+mn-ea"/>
                <a:cs typeface="+mn-cs"/>
              </a:defRPr>
            </a:pPr>
            <a:endParaRPr lang="LID4096"/>
          </a:p>
        </c:txPr>
        <c:crossAx val="2056652368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841</xdr:colOff>
      <xdr:row>20</xdr:row>
      <xdr:rowOff>169332</xdr:rowOff>
    </xdr:from>
    <xdr:to>
      <xdr:col>9</xdr:col>
      <xdr:colOff>59951</xdr:colOff>
      <xdr:row>39</xdr:row>
      <xdr:rowOff>31133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7E6AEFCD-B079-4313-BF5C-E243430145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16AA5-E243-4345-9511-9761AC744462}">
  <dimension ref="A2:T126"/>
  <sheetViews>
    <sheetView view="pageLayout" zoomScaleNormal="100" workbookViewId="0">
      <selection activeCell="H17" sqref="H17"/>
    </sheetView>
  </sheetViews>
  <sheetFormatPr defaultColWidth="11.5546875" defaultRowHeight="13.8" x14ac:dyDescent="0.3"/>
  <cols>
    <col min="1" max="1" width="9.21875" style="9" customWidth="1"/>
    <col min="2" max="3" width="15.5546875" style="11" customWidth="1"/>
    <col min="4" max="4" width="2.77734375" style="9" bestFit="1" customWidth="1"/>
    <col min="5" max="5" width="10" style="9" customWidth="1"/>
    <col min="6" max="6" width="4.44140625" style="9" customWidth="1"/>
    <col min="7" max="7" width="7.44140625" style="9" bestFit="1" customWidth="1"/>
    <col min="8" max="8" width="7.21875" style="9" bestFit="1" customWidth="1"/>
    <col min="9" max="9" width="6.6640625" style="9" bestFit="1" customWidth="1"/>
    <col min="10" max="10" width="6.21875" style="9" bestFit="1" customWidth="1"/>
    <col min="11" max="11" width="9.21875" style="9" customWidth="1"/>
    <col min="12" max="12" width="9.109375" style="9" customWidth="1"/>
    <col min="13" max="14" width="15.5546875" style="9" customWidth="1"/>
    <col min="15" max="15" width="13.109375" style="9" hidden="1" customWidth="1"/>
    <col min="16" max="19" width="11.5546875" style="9" hidden="1" customWidth="1"/>
    <col min="20" max="21" width="11.6640625" style="9" bestFit="1" customWidth="1"/>
    <col min="22" max="16384" width="11.5546875" style="9"/>
  </cols>
  <sheetData>
    <row r="2" spans="1:20" ht="15" customHeight="1" x14ac:dyDescent="0.3">
      <c r="A2" s="41" t="s">
        <v>0</v>
      </c>
      <c r="B2" s="41"/>
      <c r="C2" s="40"/>
      <c r="D2" s="40"/>
      <c r="E2" s="40"/>
      <c r="F2" s="40"/>
      <c r="G2" s="40"/>
      <c r="H2" s="40"/>
      <c r="I2" s="40"/>
    </row>
    <row r="3" spans="1:20" ht="14.4" customHeight="1" thickBot="1" x14ac:dyDescent="0.35">
      <c r="A3" s="41" t="s">
        <v>1</v>
      </c>
      <c r="B3" s="41"/>
      <c r="C3" s="40" t="s">
        <v>126</v>
      </c>
      <c r="D3" s="40"/>
      <c r="E3" s="40"/>
      <c r="F3" s="40"/>
      <c r="G3" s="40"/>
      <c r="H3" s="40"/>
      <c r="I3" s="40"/>
      <c r="L3" s="34" t="s">
        <v>75</v>
      </c>
      <c r="M3" s="34"/>
      <c r="N3" s="34"/>
      <c r="O3" s="26"/>
      <c r="P3" s="26"/>
      <c r="Q3" s="26"/>
      <c r="R3" s="26"/>
      <c r="S3" s="12"/>
    </row>
    <row r="4" spans="1:20" ht="14.4" customHeight="1" thickTop="1" x14ac:dyDescent="0.3">
      <c r="A4" s="41" t="s">
        <v>2</v>
      </c>
      <c r="B4" s="41"/>
      <c r="C4" s="40" t="s">
        <v>127</v>
      </c>
      <c r="D4" s="40"/>
      <c r="E4" s="40"/>
      <c r="F4" s="40"/>
      <c r="G4" s="40"/>
      <c r="H4" s="40"/>
      <c r="I4" s="40"/>
    </row>
    <row r="5" spans="1:20" ht="15" customHeight="1" x14ac:dyDescent="0.3">
      <c r="A5" s="41" t="s">
        <v>76</v>
      </c>
      <c r="B5" s="41"/>
      <c r="C5" s="40" t="s">
        <v>77</v>
      </c>
      <c r="D5" s="40"/>
      <c r="E5" s="40"/>
      <c r="F5" s="40"/>
      <c r="G5" s="40"/>
      <c r="H5" s="40"/>
      <c r="I5" s="40"/>
      <c r="M5" s="20"/>
      <c r="N5" s="20"/>
      <c r="O5" s="20"/>
      <c r="P5" s="20"/>
      <c r="Q5" s="20"/>
      <c r="R5" s="20"/>
      <c r="S5" s="20"/>
      <c r="T5" s="20"/>
    </row>
    <row r="6" spans="1:20" x14ac:dyDescent="0.3">
      <c r="A6" s="12"/>
      <c r="B6" s="15"/>
      <c r="L6" s="20" t="s">
        <v>34</v>
      </c>
      <c r="M6" s="20" t="s">
        <v>35</v>
      </c>
      <c r="N6" s="20" t="s">
        <v>41</v>
      </c>
      <c r="O6" s="20" t="s">
        <v>39</v>
      </c>
      <c r="P6" s="20" t="s">
        <v>37</v>
      </c>
      <c r="Q6" s="20" t="s">
        <v>38</v>
      </c>
      <c r="R6" s="20" t="s">
        <v>40</v>
      </c>
      <c r="S6" s="20" t="s">
        <v>71</v>
      </c>
      <c r="T6" s="20" t="s">
        <v>73</v>
      </c>
    </row>
    <row r="7" spans="1:20" ht="14.4" customHeight="1" thickBot="1" x14ac:dyDescent="0.35">
      <c r="B7" s="38" t="s">
        <v>29</v>
      </c>
      <c r="C7" s="38"/>
      <c r="D7" s="12"/>
      <c r="E7" s="35" t="s">
        <v>86</v>
      </c>
      <c r="F7" s="35"/>
      <c r="G7" s="35"/>
      <c r="H7" s="35"/>
      <c r="I7" s="12"/>
      <c r="J7" s="12"/>
      <c r="L7" s="9">
        <v>2</v>
      </c>
      <c r="M7" s="19">
        <v>204293.28</v>
      </c>
      <c r="N7" s="19">
        <v>3.6</v>
      </c>
      <c r="O7" s="5">
        <f>M7*N7^$H$54</f>
        <v>839603.41371799691</v>
      </c>
      <c r="P7" s="5">
        <f>M7</f>
        <v>204293.28</v>
      </c>
      <c r="Q7" s="19">
        <f>N9</f>
        <v>7.2</v>
      </c>
      <c r="R7" s="19">
        <f>P7*Q7^$H$54</f>
        <v>1803966.603634147</v>
      </c>
      <c r="S7" s="19">
        <f>R7/$R$9</f>
        <v>0.69584784828847612</v>
      </c>
      <c r="T7" s="19">
        <f>+S7*$C$86</f>
        <v>16043.026534605982</v>
      </c>
    </row>
    <row r="8" spans="1:20" ht="14.4" customHeight="1" thickTop="1" x14ac:dyDescent="0.3">
      <c r="B8" s="15"/>
      <c r="C8" s="15"/>
      <c r="D8" s="12"/>
      <c r="E8" s="12"/>
      <c r="F8" s="12"/>
      <c r="G8" s="12"/>
      <c r="H8" s="12"/>
      <c r="I8" s="12"/>
      <c r="J8" s="12"/>
      <c r="L8" s="6">
        <v>1</v>
      </c>
      <c r="M8" s="7">
        <v>191860.24</v>
      </c>
      <c r="N8" s="7">
        <v>3.6</v>
      </c>
      <c r="O8" s="8">
        <f>M8*N8^$H$54</f>
        <v>788506.17338345235</v>
      </c>
      <c r="P8" s="8">
        <f>M8</f>
        <v>191860.24</v>
      </c>
      <c r="Q8" s="7">
        <f>Q7-N8</f>
        <v>3.6</v>
      </c>
      <c r="R8" s="7">
        <f>P8*Q8^$H$54</f>
        <v>788506.17338345235</v>
      </c>
      <c r="S8" s="7">
        <f>R8/$R$9</f>
        <v>0.30415215171152382</v>
      </c>
      <c r="T8" s="7">
        <f>+S8*$C$86</f>
        <v>7012.3390515143028</v>
      </c>
    </row>
    <row r="9" spans="1:20" ht="14.4" customHeight="1" x14ac:dyDescent="0.3">
      <c r="B9" s="15" t="s">
        <v>16</v>
      </c>
      <c r="C9" s="11" t="s">
        <v>13</v>
      </c>
      <c r="E9" s="36" t="s">
        <v>88</v>
      </c>
      <c r="F9" s="36"/>
      <c r="G9" s="36"/>
      <c r="H9" s="36"/>
      <c r="L9" s="12" t="s">
        <v>36</v>
      </c>
      <c r="M9" s="27">
        <f>SUM(M7:M8)</f>
        <v>396153.52</v>
      </c>
      <c r="N9" s="27">
        <f>SUM(N7:N8)</f>
        <v>7.2</v>
      </c>
      <c r="O9" s="27">
        <f>SUM(O7:O8)</f>
        <v>1628109.5871014493</v>
      </c>
      <c r="P9" s="27"/>
      <c r="Q9" s="27"/>
      <c r="R9" s="28">
        <f>SUM(R7:R8)</f>
        <v>2592472.7770175994</v>
      </c>
      <c r="S9" s="27">
        <f>SUM(S7:S8)</f>
        <v>1</v>
      </c>
      <c r="T9" s="27">
        <f>SUM(T7:T8)</f>
        <v>23055.365586120286</v>
      </c>
    </row>
    <row r="10" spans="1:20" x14ac:dyDescent="0.3">
      <c r="B10" s="12" t="s">
        <v>17</v>
      </c>
      <c r="C10" s="11">
        <f>INDEX(Z,MATCH(C9,Zona,0))</f>
        <v>0.4</v>
      </c>
      <c r="E10" s="36" t="s">
        <v>89</v>
      </c>
      <c r="F10" s="36"/>
      <c r="G10" s="36"/>
      <c r="H10" s="36"/>
    </row>
    <row r="11" spans="1:20" x14ac:dyDescent="0.3">
      <c r="A11" s="10"/>
      <c r="L11" s="20" t="s">
        <v>44</v>
      </c>
      <c r="M11" s="20"/>
      <c r="N11" s="20"/>
      <c r="O11" s="20"/>
      <c r="P11" s="20"/>
      <c r="Q11" s="20"/>
      <c r="R11" s="20"/>
      <c r="S11" s="20"/>
      <c r="T11" s="20"/>
    </row>
    <row r="12" spans="1:20" x14ac:dyDescent="0.3">
      <c r="B12" s="12" t="s">
        <v>27</v>
      </c>
      <c r="C12" s="11" t="s">
        <v>6</v>
      </c>
      <c r="L12" s="20" t="s">
        <v>34</v>
      </c>
      <c r="M12" s="20" t="s">
        <v>35</v>
      </c>
      <c r="N12" s="20" t="s">
        <v>41</v>
      </c>
      <c r="O12" s="20" t="s">
        <v>39</v>
      </c>
      <c r="P12" s="20" t="s">
        <v>37</v>
      </c>
      <c r="Q12" s="20" t="s">
        <v>38</v>
      </c>
      <c r="R12" s="20" t="s">
        <v>40</v>
      </c>
      <c r="S12" s="20" t="s">
        <v>72</v>
      </c>
      <c r="T12" s="20" t="s">
        <v>74</v>
      </c>
    </row>
    <row r="13" spans="1:20" ht="13.8" customHeight="1" x14ac:dyDescent="0.3">
      <c r="B13" s="12" t="s">
        <v>20</v>
      </c>
      <c r="C13" s="11">
        <f>INDEX(Fa,MATCH($C$12,Suelo,0),MATCH($C$9,ZonaFa,0))</f>
        <v>1.2</v>
      </c>
      <c r="E13" s="36" t="s">
        <v>30</v>
      </c>
      <c r="F13" s="36"/>
      <c r="G13" s="36"/>
      <c r="H13" s="11"/>
      <c r="L13" s="9">
        <v>2</v>
      </c>
      <c r="M13" s="19">
        <v>184936.54</v>
      </c>
      <c r="N13" s="19">
        <v>3.6</v>
      </c>
      <c r="O13" s="5">
        <f>M13*N13^$H$55</f>
        <v>760051.18868909881</v>
      </c>
      <c r="P13" s="5">
        <f>M13</f>
        <v>184936.54</v>
      </c>
      <c r="Q13" s="19">
        <f>N15</f>
        <v>7.2</v>
      </c>
      <c r="R13" s="19">
        <f>P13*Q13^$H$54</f>
        <v>1633041.1942656683</v>
      </c>
      <c r="S13" s="19">
        <f>R13/$R$9</f>
        <v>0.62991642911071621</v>
      </c>
      <c r="T13" s="19">
        <f>+S13*$C$86</f>
        <v>14522.953561850985</v>
      </c>
    </row>
    <row r="14" spans="1:20" ht="13.8" customHeight="1" x14ac:dyDescent="0.3">
      <c r="B14" s="12" t="s">
        <v>21</v>
      </c>
      <c r="C14" s="11">
        <f>INDEX(Fd,MATCH($C$12,Suelo,0),MATCH($C$9,ZonaFd,0))</f>
        <v>1.19</v>
      </c>
      <c r="E14" s="36" t="s">
        <v>31</v>
      </c>
      <c r="F14" s="36"/>
      <c r="G14" s="36"/>
      <c r="H14" s="11"/>
      <c r="L14" s="6">
        <v>1</v>
      </c>
      <c r="M14" s="7">
        <v>187802.57</v>
      </c>
      <c r="N14" s="7">
        <v>3.6</v>
      </c>
      <c r="O14" s="5">
        <f>M14*N14^$H$55</f>
        <v>771829.9832329927</v>
      </c>
      <c r="P14" s="8">
        <f t="shared" ref="P14" si="0">M14</f>
        <v>187802.57</v>
      </c>
      <c r="Q14" s="7">
        <f>Q13-N14</f>
        <v>3.6</v>
      </c>
      <c r="R14" s="7">
        <f>P14*Q14^$H$54</f>
        <v>771829.9832329927</v>
      </c>
      <c r="S14" s="7">
        <f>R14/$R$9</f>
        <v>0.29771960966198141</v>
      </c>
      <c r="T14" s="7">
        <f>+S14*$C$86</f>
        <v>6864.0344429140105</v>
      </c>
    </row>
    <row r="15" spans="1:20" ht="13.8" customHeight="1" x14ac:dyDescent="0.3">
      <c r="B15" s="12" t="s">
        <v>22</v>
      </c>
      <c r="C15" s="11">
        <f>INDEX(Fs,MATCH($C$12,Suelo,0),MATCH($C$9,ZonaFs,0))</f>
        <v>1.28</v>
      </c>
      <c r="E15" s="36" t="s">
        <v>32</v>
      </c>
      <c r="F15" s="36"/>
      <c r="G15" s="36"/>
      <c r="H15" s="11"/>
      <c r="L15" s="12" t="s">
        <v>36</v>
      </c>
      <c r="M15" s="27">
        <f>SUM(M13:M14)</f>
        <v>372739.11</v>
      </c>
      <c r="N15" s="27">
        <f>SUM(N13:N14)</f>
        <v>7.2</v>
      </c>
      <c r="O15" s="27">
        <f>SUM(O13:O14)</f>
        <v>1531881.1719220914</v>
      </c>
      <c r="P15" s="27"/>
      <c r="Q15" s="27"/>
      <c r="R15" s="28">
        <f>SUM(R13:R14)</f>
        <v>2404871.177498661</v>
      </c>
      <c r="S15" s="27">
        <f>SUM(S13:S14)</f>
        <v>0.92763603877269762</v>
      </c>
      <c r="T15" s="27">
        <f>SUM(T13:T14)</f>
        <v>21386.988004764997</v>
      </c>
    </row>
    <row r="16" spans="1:20" x14ac:dyDescent="0.3">
      <c r="B16" s="12" t="s">
        <v>24</v>
      </c>
      <c r="C16" s="11">
        <v>1.8</v>
      </c>
      <c r="E16" s="36" t="s">
        <v>33</v>
      </c>
      <c r="F16" s="36"/>
      <c r="G16" s="36"/>
      <c r="H16" s="11"/>
    </row>
    <row r="17" spans="1:13" ht="14.4" thickBot="1" x14ac:dyDescent="0.35">
      <c r="B17" s="12" t="s">
        <v>28</v>
      </c>
      <c r="C17" s="13">
        <f>IF(C12="Suelo E",1.5,1)</f>
        <v>1</v>
      </c>
      <c r="E17" s="36" t="s">
        <v>33</v>
      </c>
      <c r="F17" s="36"/>
      <c r="G17" s="36"/>
      <c r="H17" s="11"/>
      <c r="L17" s="34"/>
      <c r="M17" s="34"/>
    </row>
    <row r="18" spans="1:13" ht="15.6" thickTop="1" x14ac:dyDescent="0.3">
      <c r="B18" s="12" t="s">
        <v>78</v>
      </c>
      <c r="C18" s="14">
        <f>0.1*C15*C14/C13</f>
        <v>0.12693333333333331</v>
      </c>
      <c r="E18" s="36" t="s">
        <v>33</v>
      </c>
      <c r="F18" s="36"/>
      <c r="G18" s="36"/>
      <c r="H18" s="11"/>
    </row>
    <row r="19" spans="1:13" ht="15" x14ac:dyDescent="0.3">
      <c r="B19" s="12" t="s">
        <v>79</v>
      </c>
      <c r="C19" s="14">
        <f>0.55*C15*C14/C13</f>
        <v>0.69813333333333338</v>
      </c>
      <c r="E19" s="36" t="s">
        <v>33</v>
      </c>
      <c r="F19" s="36"/>
      <c r="G19" s="36"/>
      <c r="H19" s="11"/>
    </row>
    <row r="20" spans="1:13" ht="15" x14ac:dyDescent="0.3">
      <c r="B20" s="12" t="s">
        <v>80</v>
      </c>
      <c r="C20" s="14">
        <f>IF(OR(C12="Suelo D",C12="Suelo E"),4,2.4*C14)</f>
        <v>4</v>
      </c>
      <c r="E20" s="36" t="s">
        <v>33</v>
      </c>
      <c r="F20" s="36"/>
      <c r="G20" s="36"/>
      <c r="H20" s="11"/>
    </row>
    <row r="21" spans="1:13" x14ac:dyDescent="0.3">
      <c r="A21" s="12"/>
      <c r="B21" s="14"/>
    </row>
    <row r="22" spans="1:13" x14ac:dyDescent="0.3">
      <c r="A22" s="12"/>
      <c r="B22" s="14"/>
    </row>
    <row r="23" spans="1:13" x14ac:dyDescent="0.3">
      <c r="A23" s="12"/>
      <c r="B23" s="14"/>
    </row>
    <row r="24" spans="1:13" x14ac:dyDescent="0.3">
      <c r="A24" s="12"/>
      <c r="B24" s="14"/>
    </row>
    <row r="25" spans="1:13" x14ac:dyDescent="0.3">
      <c r="A25" s="12"/>
      <c r="B25" s="14"/>
    </row>
    <row r="26" spans="1:13" x14ac:dyDescent="0.3">
      <c r="A26" s="12"/>
      <c r="B26" s="14"/>
    </row>
    <row r="27" spans="1:13" x14ac:dyDescent="0.3">
      <c r="A27" s="12"/>
      <c r="B27" s="14"/>
    </row>
    <row r="28" spans="1:13" x14ac:dyDescent="0.3">
      <c r="A28" s="12"/>
      <c r="B28" s="14"/>
    </row>
    <row r="29" spans="1:13" x14ac:dyDescent="0.3">
      <c r="A29" s="12"/>
      <c r="B29" s="14"/>
    </row>
    <row r="30" spans="1:13" x14ac:dyDescent="0.3">
      <c r="A30" s="12"/>
      <c r="B30" s="14"/>
    </row>
    <row r="31" spans="1:13" x14ac:dyDescent="0.3">
      <c r="A31" s="12"/>
      <c r="B31" s="14"/>
    </row>
    <row r="32" spans="1:13" x14ac:dyDescent="0.3">
      <c r="A32" s="12"/>
      <c r="B32" s="14"/>
    </row>
    <row r="33" spans="1:9" x14ac:dyDescent="0.3">
      <c r="A33" s="12"/>
      <c r="B33" s="14"/>
    </row>
    <row r="34" spans="1:9" x14ac:dyDescent="0.3">
      <c r="A34" s="12"/>
      <c r="B34" s="14"/>
    </row>
    <row r="35" spans="1:9" x14ac:dyDescent="0.3">
      <c r="A35" s="12"/>
      <c r="B35" s="14"/>
    </row>
    <row r="36" spans="1:9" x14ac:dyDescent="0.3">
      <c r="A36" s="12"/>
      <c r="B36" s="14"/>
    </row>
    <row r="37" spans="1:9" x14ac:dyDescent="0.3">
      <c r="A37" s="12"/>
      <c r="B37" s="14"/>
    </row>
    <row r="38" spans="1:9" x14ac:dyDescent="0.3">
      <c r="A38" s="12"/>
      <c r="B38" s="14"/>
    </row>
    <row r="39" spans="1:9" x14ac:dyDescent="0.3">
      <c r="A39" s="12"/>
      <c r="B39" s="14"/>
    </row>
    <row r="40" spans="1:9" x14ac:dyDescent="0.3">
      <c r="A40" s="12"/>
      <c r="B40" s="14"/>
    </row>
    <row r="41" spans="1:9" ht="14.4" thickBot="1" x14ac:dyDescent="0.35">
      <c r="A41" s="12"/>
      <c r="B41" s="38" t="s">
        <v>42</v>
      </c>
      <c r="C41" s="38"/>
      <c r="E41" s="35" t="s">
        <v>87</v>
      </c>
      <c r="F41" s="35"/>
      <c r="G41" s="35"/>
      <c r="H41" s="35"/>
    </row>
    <row r="42" spans="1:9" ht="14.4" thickTop="1" x14ac:dyDescent="0.3">
      <c r="A42" s="12"/>
      <c r="B42" s="14"/>
    </row>
    <row r="43" spans="1:9" x14ac:dyDescent="0.3">
      <c r="A43" s="20" t="s">
        <v>55</v>
      </c>
      <c r="B43" s="37" t="s">
        <v>48</v>
      </c>
      <c r="C43" s="37"/>
      <c r="D43" s="12"/>
      <c r="E43" s="36" t="s">
        <v>90</v>
      </c>
      <c r="F43" s="36"/>
      <c r="G43" s="36"/>
      <c r="H43" s="36"/>
    </row>
    <row r="44" spans="1:9" x14ac:dyDescent="0.3">
      <c r="A44" s="12" t="s">
        <v>49</v>
      </c>
      <c r="B44" s="40" t="s">
        <v>51</v>
      </c>
      <c r="C44" s="40"/>
      <c r="D44" s="40"/>
      <c r="E44" s="40"/>
      <c r="F44" s="40"/>
      <c r="G44" s="40"/>
      <c r="H44" s="40"/>
      <c r="I44" s="40"/>
    </row>
    <row r="45" spans="1:9" x14ac:dyDescent="0.3">
      <c r="A45" s="12" t="s">
        <v>52</v>
      </c>
      <c r="B45" s="40" t="s">
        <v>51</v>
      </c>
      <c r="C45" s="40"/>
      <c r="D45" s="40"/>
      <c r="E45" s="40"/>
      <c r="F45" s="40"/>
      <c r="G45" s="40"/>
      <c r="H45" s="40"/>
      <c r="I45" s="40"/>
    </row>
    <row r="46" spans="1:9" x14ac:dyDescent="0.3">
      <c r="B46" s="15"/>
      <c r="C46" s="13"/>
    </row>
    <row r="47" spans="1:9" ht="14.4" customHeight="1" x14ac:dyDescent="0.3"/>
    <row r="48" spans="1:9" x14ac:dyDescent="0.3">
      <c r="B48" s="15"/>
    </row>
    <row r="49" spans="1:11" x14ac:dyDescent="0.3">
      <c r="A49" s="20" t="s">
        <v>55</v>
      </c>
      <c r="B49" s="20" t="s">
        <v>46</v>
      </c>
      <c r="C49" s="20" t="s">
        <v>54</v>
      </c>
      <c r="E49" s="36" t="s">
        <v>90</v>
      </c>
      <c r="F49" s="36"/>
      <c r="G49" s="36"/>
      <c r="H49" s="36"/>
    </row>
    <row r="50" spans="1:11" ht="14.4" customHeight="1" x14ac:dyDescent="0.3">
      <c r="A50" s="12" t="s">
        <v>49</v>
      </c>
      <c r="B50" s="9">
        <f>INDEX(Ct,MATCH($B$44,Est,0))</f>
        <v>5.5E-2</v>
      </c>
      <c r="C50" s="19">
        <f>INDEX(x,MATCH($B$44,Est,0))</f>
        <v>0.75</v>
      </c>
    </row>
    <row r="51" spans="1:11" ht="14.4" customHeight="1" x14ac:dyDescent="0.3">
      <c r="A51" s="12" t="s">
        <v>52</v>
      </c>
      <c r="B51" s="9">
        <f>INDEX(Ct,MATCH($B$45,Est,0))</f>
        <v>5.5E-2</v>
      </c>
      <c r="C51" s="19">
        <f>INDEX(x,MATCH($B$45,Est,0))</f>
        <v>0.75</v>
      </c>
      <c r="J51" s="29"/>
      <c r="K51" s="19"/>
    </row>
    <row r="52" spans="1:11" ht="14.4" customHeight="1" x14ac:dyDescent="0.3">
      <c r="B52" s="9"/>
      <c r="C52" s="9"/>
      <c r="H52" s="19"/>
      <c r="I52" s="19"/>
      <c r="J52" s="29"/>
      <c r="K52" s="19"/>
    </row>
    <row r="53" spans="1:11" ht="14.4" customHeight="1" x14ac:dyDescent="0.3">
      <c r="A53" s="20" t="s">
        <v>55</v>
      </c>
      <c r="B53" s="20" t="s">
        <v>81</v>
      </c>
      <c r="C53" s="20" t="s">
        <v>25</v>
      </c>
      <c r="E53" s="36" t="s">
        <v>90</v>
      </c>
      <c r="F53" s="36"/>
      <c r="G53" s="11"/>
      <c r="H53" s="20" t="s">
        <v>95</v>
      </c>
      <c r="I53" s="11" t="s">
        <v>92</v>
      </c>
      <c r="J53" s="11"/>
      <c r="K53" s="19"/>
    </row>
    <row r="54" spans="1:11" ht="14.4" customHeight="1" x14ac:dyDescent="0.3">
      <c r="A54" s="12" t="s">
        <v>49</v>
      </c>
      <c r="B54" s="19">
        <v>30.1</v>
      </c>
      <c r="C54" s="29">
        <f>B50*B54^C50</f>
        <v>0.70678538607371932</v>
      </c>
      <c r="E54" s="36"/>
      <c r="F54" s="36"/>
      <c r="H54" s="19">
        <f>IF(C54&lt;=0.5,1,IF(OR(C54&gt;0.5,C54&lt;2.5),0.75+0.5*C54,2))</f>
        <v>1.1033926930368596</v>
      </c>
      <c r="I54" s="11"/>
      <c r="J54" s="11"/>
      <c r="K54" s="19"/>
    </row>
    <row r="55" spans="1:11" ht="14.4" customHeight="1" x14ac:dyDescent="0.3">
      <c r="A55" s="12" t="s">
        <v>52</v>
      </c>
      <c r="B55" s="19">
        <v>30.1</v>
      </c>
      <c r="C55" s="29">
        <f>B51*B55^C51</f>
        <v>0.70678538607371932</v>
      </c>
      <c r="E55" s="36"/>
      <c r="F55" s="36"/>
      <c r="H55" s="19">
        <f>IF(C55&lt;=0.5,1,IF(OR(C55&gt;0.5,C55&lt;2.5),0.75+0.5*C55,2))</f>
        <v>1.1033926930368596</v>
      </c>
      <c r="I55" s="19"/>
      <c r="J55" s="29"/>
      <c r="K55" s="19"/>
    </row>
    <row r="56" spans="1:11" ht="14.4" customHeight="1" x14ac:dyDescent="0.3">
      <c r="H56" s="19"/>
      <c r="I56" s="19"/>
      <c r="J56" s="29"/>
      <c r="K56" s="19"/>
    </row>
    <row r="57" spans="1:11" ht="14.4" customHeight="1" thickBot="1" x14ac:dyDescent="0.35">
      <c r="B57" s="38" t="s">
        <v>96</v>
      </c>
      <c r="C57" s="38"/>
      <c r="E57" s="35" t="s">
        <v>91</v>
      </c>
      <c r="F57" s="35"/>
      <c r="G57" s="35"/>
      <c r="H57" s="35"/>
      <c r="I57" s="19"/>
      <c r="J57" s="29"/>
      <c r="K57" s="19"/>
    </row>
    <row r="58" spans="1:11" ht="14.4" thickTop="1" x14ac:dyDescent="0.3">
      <c r="A58" s="12"/>
      <c r="B58" s="16"/>
      <c r="C58" s="16"/>
      <c r="D58" s="17"/>
      <c r="E58" s="17"/>
      <c r="F58" s="17"/>
      <c r="H58" s="19"/>
      <c r="I58" s="19"/>
      <c r="J58" s="29"/>
      <c r="K58" s="19"/>
    </row>
    <row r="59" spans="1:11" x14ac:dyDescent="0.3">
      <c r="A59" s="20" t="s">
        <v>55</v>
      </c>
      <c r="B59" s="37" t="s">
        <v>64</v>
      </c>
      <c r="C59" s="37"/>
      <c r="D59" s="37"/>
      <c r="E59" s="37"/>
      <c r="F59" s="37"/>
      <c r="G59" s="37"/>
      <c r="H59" s="37"/>
      <c r="I59" s="20" t="s">
        <v>65</v>
      </c>
    </row>
    <row r="60" spans="1:11" ht="56.55" customHeight="1" x14ac:dyDescent="0.3">
      <c r="A60" s="12" t="s">
        <v>49</v>
      </c>
      <c r="B60" s="39" t="s">
        <v>60</v>
      </c>
      <c r="C60" s="39"/>
      <c r="D60" s="39"/>
      <c r="E60" s="39"/>
      <c r="F60" s="39"/>
      <c r="G60" s="39"/>
      <c r="H60" s="39"/>
      <c r="I60" s="9">
        <f>INDEX(FactorR,MATCH($B60,Sistema,0))</f>
        <v>8</v>
      </c>
    </row>
    <row r="61" spans="1:11" ht="56.55" customHeight="1" x14ac:dyDescent="0.3">
      <c r="A61" s="12" t="s">
        <v>52</v>
      </c>
      <c r="B61" s="36" t="s">
        <v>60</v>
      </c>
      <c r="C61" s="36"/>
      <c r="D61" s="36"/>
      <c r="E61" s="36"/>
      <c r="F61" s="36"/>
      <c r="G61" s="36"/>
      <c r="H61" s="36"/>
      <c r="I61" s="9">
        <f>INDEX(FactorR,MATCH($B61,Sistema,0))</f>
        <v>8</v>
      </c>
    </row>
    <row r="62" spans="1:11" x14ac:dyDescent="0.3">
      <c r="A62" s="12"/>
      <c r="D62" s="11"/>
      <c r="E62" s="11"/>
      <c r="F62" s="11"/>
      <c r="G62" s="11"/>
      <c r="H62" s="11"/>
    </row>
    <row r="63" spans="1:11" ht="14.4" thickBot="1" x14ac:dyDescent="0.35">
      <c r="A63" s="12"/>
      <c r="B63" s="38" t="s">
        <v>97</v>
      </c>
      <c r="C63" s="38"/>
      <c r="D63" s="11"/>
      <c r="E63" s="35" t="s">
        <v>93</v>
      </c>
      <c r="F63" s="35"/>
      <c r="G63" s="35"/>
      <c r="H63" s="35"/>
    </row>
    <row r="64" spans="1:11" ht="14.4" thickTop="1" x14ac:dyDescent="0.3">
      <c r="A64" s="12"/>
      <c r="D64" s="11"/>
      <c r="E64" s="11"/>
      <c r="F64" s="11"/>
      <c r="G64" s="11"/>
      <c r="H64" s="11"/>
    </row>
    <row r="65" spans="1:11" ht="13.8" customHeight="1" x14ac:dyDescent="0.3">
      <c r="B65" s="37" t="s">
        <v>70</v>
      </c>
      <c r="C65" s="37"/>
      <c r="E65" s="20" t="s">
        <v>9</v>
      </c>
      <c r="G65" s="40" t="s">
        <v>94</v>
      </c>
      <c r="H65" s="40"/>
    </row>
    <row r="66" spans="1:11" ht="13.8" customHeight="1" x14ac:dyDescent="0.3">
      <c r="A66" s="15"/>
      <c r="B66" s="36" t="s">
        <v>69</v>
      </c>
      <c r="C66" s="36"/>
      <c r="E66" s="19">
        <f>INDEX(FactorI,MATCH($B$66,Categ,0))</f>
        <v>1</v>
      </c>
      <c r="G66" s="22"/>
      <c r="H66" s="22"/>
    </row>
    <row r="67" spans="1:11" x14ac:dyDescent="0.3">
      <c r="A67" s="15"/>
      <c r="B67" s="15"/>
      <c r="D67" s="11"/>
      <c r="E67" s="19"/>
      <c r="G67" s="22"/>
      <c r="H67" s="22"/>
    </row>
    <row r="69" spans="1:11" ht="15" customHeight="1" thickBot="1" x14ac:dyDescent="0.35">
      <c r="B69" s="38" t="s">
        <v>113</v>
      </c>
      <c r="C69" s="38"/>
      <c r="E69" s="35" t="s">
        <v>112</v>
      </c>
      <c r="F69" s="35"/>
      <c r="G69" s="35"/>
      <c r="H69" s="35"/>
      <c r="I69" s="15"/>
      <c r="K69" s="19"/>
    </row>
    <row r="70" spans="1:11" ht="14.4" thickTop="1" x14ac:dyDescent="0.3">
      <c r="E70" s="12"/>
      <c r="F70" s="12"/>
      <c r="G70" s="12"/>
      <c r="H70" s="12"/>
      <c r="I70" s="12"/>
      <c r="K70" s="19"/>
    </row>
    <row r="71" spans="1:11" x14ac:dyDescent="0.3">
      <c r="B71" s="41" t="s">
        <v>98</v>
      </c>
      <c r="C71" s="41"/>
      <c r="E71" s="36" t="s">
        <v>108</v>
      </c>
      <c r="F71" s="36"/>
      <c r="G71" s="36"/>
    </row>
    <row r="72" spans="1:11" x14ac:dyDescent="0.3">
      <c r="B72" s="12" t="s">
        <v>99</v>
      </c>
      <c r="C72" s="19">
        <v>17844872.77</v>
      </c>
    </row>
    <row r="73" spans="1:11" x14ac:dyDescent="0.3">
      <c r="B73" s="12"/>
      <c r="C73" s="19"/>
    </row>
    <row r="74" spans="1:11" x14ac:dyDescent="0.3">
      <c r="B74" s="35" t="s">
        <v>101</v>
      </c>
      <c r="C74" s="35"/>
      <c r="E74" s="36" t="s">
        <v>108</v>
      </c>
      <c r="F74" s="36"/>
      <c r="G74" s="36"/>
    </row>
    <row r="75" spans="1:11" x14ac:dyDescent="0.3">
      <c r="B75" s="12" t="s">
        <v>100</v>
      </c>
      <c r="C75" s="19">
        <f>C72*9.81/1000</f>
        <v>175058.20187369999</v>
      </c>
    </row>
    <row r="76" spans="1:11" x14ac:dyDescent="0.3">
      <c r="B76" s="12"/>
      <c r="C76" s="19"/>
    </row>
    <row r="77" spans="1:11" x14ac:dyDescent="0.3">
      <c r="B77" s="41" t="s">
        <v>83</v>
      </c>
      <c r="C77" s="41"/>
      <c r="E77" s="18">
        <v>0.9</v>
      </c>
      <c r="G77" s="36" t="s">
        <v>102</v>
      </c>
      <c r="H77" s="36"/>
      <c r="I77" s="36"/>
    </row>
    <row r="78" spans="1:11" x14ac:dyDescent="0.3">
      <c r="B78" s="41" t="s">
        <v>82</v>
      </c>
      <c r="C78" s="41"/>
      <c r="E78" s="18">
        <v>0.9</v>
      </c>
      <c r="G78" s="36" t="s">
        <v>103</v>
      </c>
      <c r="H78" s="36"/>
      <c r="I78" s="36"/>
    </row>
    <row r="79" spans="1:11" x14ac:dyDescent="0.3">
      <c r="B79" s="15"/>
      <c r="C79" s="15"/>
      <c r="E79" s="18"/>
      <c r="G79" s="11"/>
      <c r="H79" s="11"/>
      <c r="I79" s="11"/>
    </row>
    <row r="80" spans="1:11" x14ac:dyDescent="0.3">
      <c r="A80" s="12" t="s">
        <v>55</v>
      </c>
      <c r="B80" s="41" t="s">
        <v>109</v>
      </c>
      <c r="C80" s="41"/>
      <c r="E80" s="18"/>
      <c r="G80" s="11"/>
      <c r="H80" s="11"/>
      <c r="I80" s="11"/>
    </row>
    <row r="81" spans="1:9" ht="15" x14ac:dyDescent="0.3">
      <c r="A81" s="12" t="s">
        <v>49</v>
      </c>
      <c r="B81" s="15" t="s">
        <v>110</v>
      </c>
      <c r="C81" s="19">
        <f>IF($C54&lt;$C$18,$C$10*$C$13*(1+($C$16-1)*$C54/$C$18),IF(AND($C54&gt;=$C$18,$C54&lt;$C$19),$C$16*$C$10*$C$13,$C$16*$C$10*$C$13*($C$19/$C54)^$C$17))</f>
        <v>0.85342341803468802</v>
      </c>
      <c r="E81" s="36" t="s">
        <v>107</v>
      </c>
      <c r="F81" s="36"/>
      <c r="G81" s="36"/>
      <c r="H81" s="11"/>
      <c r="I81" s="11"/>
    </row>
    <row r="82" spans="1:9" ht="15" x14ac:dyDescent="0.3">
      <c r="A82" s="12" t="s">
        <v>52</v>
      </c>
      <c r="B82" s="15" t="s">
        <v>110</v>
      </c>
      <c r="C82" s="19">
        <f>IF($C55&lt;$C$18,$C$10*$C$13*(1+($C$16-1)*$C55/$C$18),IF(AND($C55&gt;=$C$18,$C55&lt;$C$19),$C$16*$C$10*$C$13,$C$16*$C$10*$C$13*($C$19/$C55)^$C$17))</f>
        <v>0.85342341803468802</v>
      </c>
      <c r="E82" s="36" t="s">
        <v>107</v>
      </c>
      <c r="F82" s="36"/>
      <c r="G82" s="36"/>
      <c r="H82" s="19"/>
    </row>
    <row r="83" spans="1:9" x14ac:dyDescent="0.3">
      <c r="B83" s="15"/>
      <c r="C83" s="30"/>
      <c r="F83" s="19"/>
      <c r="G83" s="19"/>
      <c r="H83" s="19"/>
    </row>
    <row r="84" spans="1:9" x14ac:dyDescent="0.3">
      <c r="B84" s="15"/>
      <c r="C84" s="30"/>
      <c r="F84" s="19"/>
      <c r="G84" s="19"/>
      <c r="H84" s="19"/>
    </row>
    <row r="85" spans="1:9" x14ac:dyDescent="0.3">
      <c r="A85" s="12" t="s">
        <v>55</v>
      </c>
      <c r="B85" s="35" t="s">
        <v>106</v>
      </c>
      <c r="C85" s="35"/>
      <c r="D85" s="25"/>
      <c r="E85" s="15" t="s">
        <v>84</v>
      </c>
      <c r="F85" s="22"/>
      <c r="G85" s="36" t="s">
        <v>107</v>
      </c>
      <c r="H85" s="36"/>
      <c r="I85" s="36"/>
    </row>
    <row r="86" spans="1:9" x14ac:dyDescent="0.3">
      <c r="A86" s="12" t="s">
        <v>49</v>
      </c>
      <c r="B86" s="12" t="s">
        <v>104</v>
      </c>
      <c r="C86" s="19">
        <f>$C$75*($E$66*$C$81)/($I$60*$E$78*$E$77)</f>
        <v>23055.365586120286</v>
      </c>
      <c r="D86" s="23"/>
      <c r="E86" s="30">
        <f>C86/$C$75</f>
        <v>0.1317011447584395</v>
      </c>
      <c r="F86" s="19"/>
      <c r="G86" s="19"/>
      <c r="H86" s="19"/>
    </row>
    <row r="87" spans="1:9" x14ac:dyDescent="0.3">
      <c r="A87" s="12" t="s">
        <v>52</v>
      </c>
      <c r="B87" s="12" t="s">
        <v>104</v>
      </c>
      <c r="C87" s="19">
        <f>$C$75*($E$66*$C$81)/($I$61*$E$78*$E$77)</f>
        <v>23055.365586120286</v>
      </c>
      <c r="E87" s="30">
        <f>C87/$C$75</f>
        <v>0.1317011447584395</v>
      </c>
    </row>
    <row r="88" spans="1:9" ht="13.8" customHeight="1" x14ac:dyDescent="0.3"/>
    <row r="89" spans="1:9" x14ac:dyDescent="0.3">
      <c r="B89" s="9"/>
      <c r="C89" s="9"/>
    </row>
    <row r="90" spans="1:9" x14ac:dyDescent="0.3">
      <c r="A90" s="15"/>
      <c r="B90" s="9"/>
      <c r="C90" s="9"/>
    </row>
    <row r="91" spans="1:9" ht="15" customHeight="1" thickBot="1" x14ac:dyDescent="0.35">
      <c r="A91" s="12"/>
      <c r="B91" s="34" t="s">
        <v>111</v>
      </c>
      <c r="C91" s="34"/>
      <c r="D91" s="25"/>
      <c r="E91" s="35" t="s">
        <v>105</v>
      </c>
      <c r="F91" s="35"/>
      <c r="G91" s="35"/>
      <c r="H91" s="35"/>
    </row>
    <row r="92" spans="1:9" ht="14.4" thickTop="1" x14ac:dyDescent="0.3">
      <c r="A92" s="12"/>
      <c r="B92" s="9"/>
      <c r="C92" s="9"/>
    </row>
    <row r="93" spans="1:9" x14ac:dyDescent="0.3">
      <c r="B93" s="20" t="s">
        <v>43</v>
      </c>
    </row>
    <row r="94" spans="1:9" x14ac:dyDescent="0.3">
      <c r="A94" s="20" t="s">
        <v>34</v>
      </c>
      <c r="B94" s="20" t="s">
        <v>35</v>
      </c>
      <c r="C94" s="20" t="s">
        <v>41</v>
      </c>
      <c r="E94" s="20" t="s">
        <v>73</v>
      </c>
      <c r="F94" s="15"/>
    </row>
    <row r="95" spans="1:9" x14ac:dyDescent="0.3">
      <c r="A95" s="9">
        <v>2</v>
      </c>
      <c r="B95" s="18" cm="1">
        <f t="array" ref="B95:B96">M7:M8</f>
        <v>204293.28</v>
      </c>
      <c r="C95" s="18" cm="1">
        <f t="array" ref="C95:C96">N7:N8</f>
        <v>3.6</v>
      </c>
      <c r="E95" s="19" cm="1">
        <f t="array" ref="E95:E96">T7:T8</f>
        <v>16043.026534605982</v>
      </c>
      <c r="F95" s="24"/>
    </row>
    <row r="96" spans="1:9" x14ac:dyDescent="0.3">
      <c r="A96" s="6">
        <v>1</v>
      </c>
      <c r="B96" s="31">
        <v>191860.24</v>
      </c>
      <c r="C96" s="32">
        <v>3.6</v>
      </c>
      <c r="E96" s="6">
        <v>7012.3390515143028</v>
      </c>
      <c r="F96" s="24"/>
    </row>
    <row r="97" spans="1:8" x14ac:dyDescent="0.3">
      <c r="A97" s="12" t="s">
        <v>36</v>
      </c>
      <c r="B97" s="18">
        <f>SUM(_xlfn.ANCHORARRAY(B95))</f>
        <v>396153.52</v>
      </c>
      <c r="C97" s="18">
        <f>SUM(_xlfn.ANCHORARRAY(C95))</f>
        <v>7.2</v>
      </c>
      <c r="E97" s="19">
        <f>SUM(_xlfn.ANCHORARRAY(E95))</f>
        <v>23055.365586120286</v>
      </c>
    </row>
    <row r="99" spans="1:8" x14ac:dyDescent="0.3">
      <c r="B99" s="20" t="s">
        <v>44</v>
      </c>
    </row>
    <row r="100" spans="1:8" x14ac:dyDescent="0.3">
      <c r="A100" s="20" t="s">
        <v>34</v>
      </c>
      <c r="B100" s="20" t="s">
        <v>35</v>
      </c>
      <c r="C100" s="20" t="s">
        <v>41</v>
      </c>
      <c r="E100" s="20" t="s">
        <v>73</v>
      </c>
    </row>
    <row r="101" spans="1:8" x14ac:dyDescent="0.3">
      <c r="A101" s="9">
        <v>2</v>
      </c>
      <c r="B101" s="18" cm="1">
        <f t="array" ref="B101:B102">M13:M14</f>
        <v>184936.54</v>
      </c>
      <c r="C101" s="18" cm="1">
        <f t="array" ref="C101:C102">N13:N14</f>
        <v>3.6</v>
      </c>
      <c r="E101" s="19" cm="1">
        <f t="array" ref="E101:E102">T13:T14</f>
        <v>14522.953561850985</v>
      </c>
    </row>
    <row r="102" spans="1:8" x14ac:dyDescent="0.3">
      <c r="A102" s="6">
        <v>1</v>
      </c>
      <c r="B102" s="31">
        <v>187802.57</v>
      </c>
      <c r="C102" s="32">
        <v>3.6</v>
      </c>
      <c r="E102" s="6">
        <v>6864.0344429140105</v>
      </c>
    </row>
    <row r="103" spans="1:8" x14ac:dyDescent="0.3">
      <c r="A103" s="12" t="s">
        <v>36</v>
      </c>
      <c r="B103" s="18">
        <f>SUM(_xlfn.ANCHORARRAY(B101))</f>
        <v>372739.11</v>
      </c>
      <c r="C103" s="18">
        <f>SUM(_xlfn.ANCHORARRAY(C101))</f>
        <v>7.2</v>
      </c>
      <c r="E103" s="19">
        <f>SUM(_xlfn.ANCHORARRAY(E101))</f>
        <v>21386.988004764997</v>
      </c>
    </row>
    <row r="105" spans="1:8" ht="15" customHeight="1" thickBot="1" x14ac:dyDescent="0.35">
      <c r="B105" s="34" t="s">
        <v>114</v>
      </c>
      <c r="C105" s="34"/>
      <c r="D105" s="34"/>
      <c r="E105" s="34"/>
      <c r="F105" s="25"/>
      <c r="G105" s="25"/>
      <c r="H105" s="25"/>
    </row>
    <row r="106" spans="1:8" ht="14.4" thickTop="1" x14ac:dyDescent="0.3"/>
    <row r="107" spans="1:8" ht="15" x14ac:dyDescent="0.3">
      <c r="A107" s="12" t="s">
        <v>55</v>
      </c>
      <c r="B107" s="35" t="s">
        <v>119</v>
      </c>
      <c r="C107" s="35"/>
      <c r="D107" s="11"/>
      <c r="E107" s="12" t="s">
        <v>117</v>
      </c>
      <c r="G107" s="12" t="s">
        <v>118</v>
      </c>
    </row>
    <row r="108" spans="1:8" x14ac:dyDescent="0.3">
      <c r="A108" s="12" t="s">
        <v>49</v>
      </c>
      <c r="B108" s="12" t="s">
        <v>104</v>
      </c>
      <c r="C108" s="11">
        <v>635.01</v>
      </c>
      <c r="E108" s="9">
        <f>IF(C108&lt;$C$86,$C$86/C108,1)</f>
        <v>36.307090575140997</v>
      </c>
      <c r="G108" s="9">
        <f>E108*$E$86</f>
        <v>4.7816853915944186</v>
      </c>
    </row>
    <row r="109" spans="1:8" x14ac:dyDescent="0.3">
      <c r="A109" s="12" t="s">
        <v>52</v>
      </c>
      <c r="B109" s="12" t="s">
        <v>104</v>
      </c>
      <c r="C109" s="11">
        <v>635.01</v>
      </c>
      <c r="E109" s="9">
        <f>IF(C109&lt;$C$87,$C$87/C109,1)</f>
        <v>36.307090575140997</v>
      </c>
      <c r="G109" s="9">
        <f>E109*$E$87</f>
        <v>4.7816853915944186</v>
      </c>
    </row>
    <row r="111" spans="1:8" ht="14.4" thickBot="1" x14ac:dyDescent="0.35">
      <c r="B111" s="34" t="s">
        <v>115</v>
      </c>
      <c r="C111" s="34"/>
      <c r="D111" s="34"/>
      <c r="E111" s="34"/>
    </row>
    <row r="112" spans="1:8" ht="14.4" thickTop="1" x14ac:dyDescent="0.3"/>
    <row r="113" spans="1:8" ht="15" x14ac:dyDescent="0.3">
      <c r="B113" s="11" t="s">
        <v>116</v>
      </c>
      <c r="C113" s="11">
        <v>0.998</v>
      </c>
    </row>
    <row r="115" spans="1:8" ht="15" x14ac:dyDescent="0.3">
      <c r="A115" s="12" t="s">
        <v>55</v>
      </c>
      <c r="B115" s="35" t="s">
        <v>119</v>
      </c>
      <c r="C115" s="35"/>
      <c r="E115" s="12" t="s">
        <v>117</v>
      </c>
      <c r="G115" s="12" t="s">
        <v>118</v>
      </c>
    </row>
    <row r="116" spans="1:8" x14ac:dyDescent="0.3">
      <c r="A116" s="12" t="s">
        <v>49</v>
      </c>
      <c r="B116" s="12" t="s">
        <v>104</v>
      </c>
      <c r="C116" s="11">
        <v>56</v>
      </c>
      <c r="E116" s="9">
        <f>IF(C116&lt;$C$86,$C$86/C116,1)</f>
        <v>411.70295689500512</v>
      </c>
      <c r="G116" s="9">
        <f>E116*$E$86</f>
        <v>54.221750723506645</v>
      </c>
    </row>
    <row r="117" spans="1:8" x14ac:dyDescent="0.3">
      <c r="A117" s="12" t="s">
        <v>52</v>
      </c>
      <c r="B117" s="12" t="s">
        <v>104</v>
      </c>
      <c r="C117" s="11">
        <v>55</v>
      </c>
      <c r="E117" s="9">
        <f>IF(C117&lt;$C$87,$C$87/C117,1)</f>
        <v>419.18846520218705</v>
      </c>
      <c r="G117" s="9">
        <f>E117*$E$87</f>
        <v>55.207600736661313</v>
      </c>
    </row>
    <row r="119" spans="1:8" ht="14.4" thickBot="1" x14ac:dyDescent="0.35">
      <c r="B119" s="34" t="s">
        <v>120</v>
      </c>
      <c r="C119" s="34"/>
      <c r="D119" s="25"/>
      <c r="E119" s="35" t="s">
        <v>121</v>
      </c>
      <c r="F119" s="35"/>
      <c r="G119" s="35"/>
      <c r="H119" s="35"/>
    </row>
    <row r="120" spans="1:8" ht="14.4" thickTop="1" x14ac:dyDescent="0.3"/>
    <row r="121" spans="1:8" ht="15.6" x14ac:dyDescent="0.3">
      <c r="B121" s="33" t="s">
        <v>125</v>
      </c>
      <c r="C121" s="11">
        <v>0.02</v>
      </c>
    </row>
    <row r="123" spans="1:8" x14ac:dyDescent="0.3">
      <c r="B123" s="20" t="s">
        <v>43</v>
      </c>
    </row>
    <row r="124" spans="1:8" ht="15.6" x14ac:dyDescent="0.3">
      <c r="A124" s="20" t="s">
        <v>34</v>
      </c>
      <c r="B124" s="33" t="s">
        <v>123</v>
      </c>
      <c r="C124" s="33" t="s">
        <v>122</v>
      </c>
      <c r="E124" s="11" t="s">
        <v>124</v>
      </c>
    </row>
    <row r="125" spans="1:8" x14ac:dyDescent="0.3">
      <c r="A125" s="9">
        <v>2</v>
      </c>
    </row>
    <row r="126" spans="1:8" x14ac:dyDescent="0.3">
      <c r="A126" s="6">
        <v>1</v>
      </c>
    </row>
  </sheetData>
  <dataConsolidate/>
  <mergeCells count="63">
    <mergeCell ref="L17:M17"/>
    <mergeCell ref="B119:C119"/>
    <mergeCell ref="E119:H119"/>
    <mergeCell ref="E9:H9"/>
    <mergeCell ref="C2:I2"/>
    <mergeCell ref="C3:I3"/>
    <mergeCell ref="C4:I4"/>
    <mergeCell ref="C5:I5"/>
    <mergeCell ref="A2:B2"/>
    <mergeCell ref="A3:B3"/>
    <mergeCell ref="A4:B4"/>
    <mergeCell ref="A5:B5"/>
    <mergeCell ref="E7:H7"/>
    <mergeCell ref="B7:C7"/>
    <mergeCell ref="E43:H43"/>
    <mergeCell ref="E49:H49"/>
    <mergeCell ref="E18:G18"/>
    <mergeCell ref="E19:G19"/>
    <mergeCell ref="E20:G20"/>
    <mergeCell ref="B41:C41"/>
    <mergeCell ref="E41:H41"/>
    <mergeCell ref="E13:G13"/>
    <mergeCell ref="E14:G14"/>
    <mergeCell ref="E15:G15"/>
    <mergeCell ref="E16:G16"/>
    <mergeCell ref="E17:G17"/>
    <mergeCell ref="B85:C85"/>
    <mergeCell ref="B77:C77"/>
    <mergeCell ref="B80:C80"/>
    <mergeCell ref="B63:C63"/>
    <mergeCell ref="E63:H63"/>
    <mergeCell ref="B66:C66"/>
    <mergeCell ref="B65:C65"/>
    <mergeCell ref="G65:H65"/>
    <mergeCell ref="B78:C78"/>
    <mergeCell ref="G78:I78"/>
    <mergeCell ref="B69:C69"/>
    <mergeCell ref="B71:C71"/>
    <mergeCell ref="B74:C74"/>
    <mergeCell ref="G85:I85"/>
    <mergeCell ref="E82:G82"/>
    <mergeCell ref="L3:N3"/>
    <mergeCell ref="E69:H69"/>
    <mergeCell ref="E74:G74"/>
    <mergeCell ref="E71:G71"/>
    <mergeCell ref="E81:G81"/>
    <mergeCell ref="G77:I77"/>
    <mergeCell ref="B59:H59"/>
    <mergeCell ref="E53:F55"/>
    <mergeCell ref="B57:C57"/>
    <mergeCell ref="E57:H57"/>
    <mergeCell ref="B60:H60"/>
    <mergeCell ref="B61:H61"/>
    <mergeCell ref="B44:I44"/>
    <mergeCell ref="B45:I45"/>
    <mergeCell ref="E10:H10"/>
    <mergeCell ref="B43:C43"/>
    <mergeCell ref="B105:E105"/>
    <mergeCell ref="B107:C107"/>
    <mergeCell ref="B111:E111"/>
    <mergeCell ref="B115:C115"/>
    <mergeCell ref="E91:H91"/>
    <mergeCell ref="B91:C91"/>
  </mergeCells>
  <phoneticPr fontId="3" type="noConversion"/>
  <dataValidations xWindow="633" yWindow="566" count="3">
    <dataValidation type="list" allowBlank="1" showInputMessage="1" showErrorMessage="1" sqref="C9" xr:uid="{ABDF2038-76BA-4D95-B3F3-16B50A1B357B}">
      <formula1>Zona</formula1>
    </dataValidation>
    <dataValidation type="list" allowBlank="1" showInputMessage="1" showErrorMessage="1" sqref="C12" xr:uid="{1D437CC8-79E7-4784-B21C-47FC0115CAE7}">
      <formula1>Suelo</formula1>
    </dataValidation>
    <dataValidation type="list" allowBlank="1" showInputMessage="1" showErrorMessage="1" prompt="2.48: Sierra, Esmeraldas y Galápagos_x000a_1.80: Costa excepto Esmeraldas_x000a_2.60: Oriente_x000a_" sqref="C16" xr:uid="{1C008357-82A6-41E1-A77C-A7CF01935F47}">
      <formula1>n</formula1>
    </dataValidation>
  </dataValidations>
  <pageMargins left="0.98425196850393704" right="0.51181102362204722" top="1.1811023622047245" bottom="1.1811023622047245" header="0.19685039370078741" footer="0.19685039370078741"/>
  <pageSetup paperSize="9" orientation="portrait" r:id="rId1"/>
  <headerFooter>
    <oddHeader>&amp;L
&amp;R&amp;"Tahoma,Regular"Código:
NEC-SE-2015</oddHeader>
    <oddFooter>&amp;L
&amp;R&amp;"Tahoma,Regular"&amp;D
Página &amp;P de &amp;N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xWindow="633" yWindow="566" count="3">
        <x14:dataValidation type="list" allowBlank="1" showInputMessage="1" showErrorMessage="1" xr:uid="{8B34C39F-C2AF-4551-9BBF-21AB79075F27}">
          <x14:formula1>
            <xm:f>'Datos NEC - Espectro'!$A$32:$A$35</xm:f>
          </x14:formula1>
          <xm:sqref>B44:B45</xm:sqref>
        </x14:dataValidation>
        <x14:dataValidation type="list" allowBlank="1" showInputMessage="1" showErrorMessage="1" xr:uid="{A30CD4E2-512C-448E-99A2-33B9AD2C3568}">
          <x14:formula1>
            <xm:f>'Factores R'!$A$2:$A$10</xm:f>
          </x14:formula1>
          <xm:sqref>I60:I64 B60:B62 B64</xm:sqref>
        </x14:dataValidation>
        <x14:dataValidation type="list" allowBlank="1" showInputMessage="1" showErrorMessage="1" xr:uid="{E38B7D9D-5046-4ACE-AA3B-DC2A65DDD6B1}">
          <x14:formula1>
            <xm:f>'Datos NEC - Espectro'!$E$32:$E$34</xm:f>
          </x14:formula1>
          <xm:sqref>B66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89EB4-E378-40B2-A493-D17C72139C86}">
  <dimension ref="A1:J202"/>
  <sheetViews>
    <sheetView tabSelected="1" view="pageLayout" zoomScaleNormal="100" workbookViewId="0">
      <selection activeCell="L8" sqref="L8"/>
    </sheetView>
  </sheetViews>
  <sheetFormatPr defaultColWidth="11.5546875" defaultRowHeight="14.4" x14ac:dyDescent="0.3"/>
  <sheetData>
    <row r="1" spans="1:10" x14ac:dyDescent="0.3">
      <c r="A1" s="1" t="s">
        <v>8</v>
      </c>
      <c r="B1" s="1" t="s">
        <v>15</v>
      </c>
      <c r="C1" s="1" t="s">
        <v>24</v>
      </c>
      <c r="H1" s="2" t="s">
        <v>25</v>
      </c>
      <c r="I1" s="2" t="s">
        <v>85</v>
      </c>
      <c r="J1" s="2" t="s">
        <v>26</v>
      </c>
    </row>
    <row r="2" spans="1:10" x14ac:dyDescent="0.3">
      <c r="A2" s="1" t="s">
        <v>9</v>
      </c>
      <c r="B2" s="1">
        <v>0.15</v>
      </c>
      <c r="C2">
        <v>2.48</v>
      </c>
      <c r="H2" s="3">
        <v>0</v>
      </c>
      <c r="I2" s="3">
        <f>J2*Resumen!$E$66/(MIN(Resumen!$I$60:$I$61)*Resumen!$E$77*Resumen!$E$78)</f>
        <v>7.407407407407407E-2</v>
      </c>
      <c r="J2" s="3">
        <f>IF(H2&lt;Resumen!$C$18,Resumen!$C$10*Resumen!$C$13*(1+(Resumen!$C$16-1)*H2/Resumen!$C$18),IF(AND(H2&gt;=Resumen!$C$18,H2&lt;Resumen!$C$19),Resumen!$C$16*Resumen!$C$10*Resumen!$C$13,Resumen!$C$16*Resumen!$C$10*Resumen!$C$13*(Resumen!$C$19/H2)^Resumen!$C$17))</f>
        <v>0.48</v>
      </c>
    </row>
    <row r="3" spans="1:10" x14ac:dyDescent="0.3">
      <c r="A3" s="1" t="s">
        <v>10</v>
      </c>
      <c r="B3" s="1">
        <v>0.25</v>
      </c>
      <c r="C3">
        <v>1.8</v>
      </c>
      <c r="H3" s="3">
        <v>0.02</v>
      </c>
      <c r="I3" s="3">
        <f>J3*Resumen!$E$66/(MIN(Resumen!$I$60:$I$61)*Resumen!$E$77*Resumen!$E$78)</f>
        <v>8.3411142234671637E-2</v>
      </c>
      <c r="J3" s="3">
        <f>IF(H3&lt;Resumen!$C$18,Resumen!$C$10*Resumen!$C$13*(1+(Resumen!$C$16-1)*H3/Resumen!$C$18),IF(AND(H3&gt;=Resumen!$C$18,H3&lt;Resumen!$C$19),Resumen!$C$16*Resumen!$C$10*Resumen!$C$13,Resumen!$C$16*Resumen!$C$10*Resumen!$C$13*(Resumen!$C$19/H3)^Resumen!$C$17))</f>
        <v>0.54050420168067226</v>
      </c>
    </row>
    <row r="4" spans="1:10" x14ac:dyDescent="0.3">
      <c r="A4" s="1" t="s">
        <v>11</v>
      </c>
      <c r="B4" s="1">
        <v>0.3</v>
      </c>
      <c r="C4">
        <v>2.6</v>
      </c>
      <c r="H4" s="3">
        <v>0.04</v>
      </c>
      <c r="I4" s="3">
        <f>J4*Resumen!$E$66/(MIN(Resumen!$I$60:$I$61)*Resumen!$E$77*Resumen!$E$78)</f>
        <v>9.2748210395269218E-2</v>
      </c>
      <c r="J4" s="3">
        <f>IF(H4&lt;Resumen!$C$18,Resumen!$C$10*Resumen!$C$13*(1+(Resumen!$C$16-1)*H4/Resumen!$C$18),IF(AND(H4&gt;=Resumen!$C$18,H4&lt;Resumen!$C$19),Resumen!$C$16*Resumen!$C$10*Resumen!$C$13,Resumen!$C$16*Resumen!$C$10*Resumen!$C$13*(Resumen!$C$19/H4)^Resumen!$C$17))</f>
        <v>0.60100840336134453</v>
      </c>
    </row>
    <row r="5" spans="1:10" x14ac:dyDescent="0.3">
      <c r="A5" s="1" t="s">
        <v>12</v>
      </c>
      <c r="B5" s="1">
        <v>0.35</v>
      </c>
      <c r="H5" s="3">
        <v>0.06</v>
      </c>
      <c r="I5" s="3">
        <f>J5*Resumen!$E$66/(MIN(Resumen!$I$60:$I$61)*Resumen!$E$77*Resumen!$E$78)</f>
        <v>0.10208527855586678</v>
      </c>
      <c r="J5" s="3">
        <f>IF(H5&lt;Resumen!$C$18,Resumen!$C$10*Resumen!$C$13*(1+(Resumen!$C$16-1)*H5/Resumen!$C$18),IF(AND(H5&gt;=Resumen!$C$18,H5&lt;Resumen!$C$19),Resumen!$C$16*Resumen!$C$10*Resumen!$C$13,Resumen!$C$16*Resumen!$C$10*Resumen!$C$13*(Resumen!$C$19/H5)^Resumen!$C$17))</f>
        <v>0.66151260504201681</v>
      </c>
    </row>
    <row r="6" spans="1:10" x14ac:dyDescent="0.3">
      <c r="A6" s="1" t="s">
        <v>13</v>
      </c>
      <c r="B6" s="1">
        <v>0.4</v>
      </c>
      <c r="H6" s="3">
        <v>0.08</v>
      </c>
      <c r="I6" s="3">
        <f>J6*Resumen!$E$66/(MIN(Resumen!$I$60:$I$61)*Resumen!$E$77*Resumen!$E$78)</f>
        <v>0.11142234671646435</v>
      </c>
      <c r="J6" s="3">
        <f>IF(H6&lt;Resumen!$C$18,Resumen!$C$10*Resumen!$C$13*(1+(Resumen!$C$16-1)*H6/Resumen!$C$18),IF(AND(H6&gt;=Resumen!$C$18,H6&lt;Resumen!$C$19),Resumen!$C$16*Resumen!$C$10*Resumen!$C$13,Resumen!$C$16*Resumen!$C$10*Resumen!$C$13*(Resumen!$C$19/H6)^Resumen!$C$17))</f>
        <v>0.72201680672268909</v>
      </c>
    </row>
    <row r="7" spans="1:10" x14ac:dyDescent="0.3">
      <c r="A7" s="1" t="s">
        <v>14</v>
      </c>
      <c r="B7" s="1">
        <v>0.5</v>
      </c>
      <c r="H7" s="3">
        <v>0.1</v>
      </c>
      <c r="I7" s="3">
        <f>J7*Resumen!$E$66/(MIN(Resumen!$I$60:$I$61)*Resumen!$E$77*Resumen!$E$78)</f>
        <v>0.12075941487706193</v>
      </c>
      <c r="J7" s="3">
        <f>IF(H7&lt;Resumen!$C$18,Resumen!$C$10*Resumen!$C$13*(1+(Resumen!$C$16-1)*H7/Resumen!$C$18),IF(AND(H7&gt;=Resumen!$C$18,H7&lt;Resumen!$C$19),Resumen!$C$16*Resumen!$C$10*Resumen!$C$13,Resumen!$C$16*Resumen!$C$10*Resumen!$C$13*(Resumen!$C$19/H7)^Resumen!$C$17))</f>
        <v>0.78252100840336136</v>
      </c>
    </row>
    <row r="8" spans="1:10" x14ac:dyDescent="0.3">
      <c r="H8" s="3">
        <v>0.12</v>
      </c>
      <c r="I8" s="21">
        <f>J8*Resumen!$E$66/(MIN(Resumen!$I$60:$I$61)*Resumen!$E$77*Resumen!$E$78)</f>
        <v>0.1300964830376595</v>
      </c>
      <c r="J8" s="3">
        <f>IF(H8&lt;Resumen!$C$18,Resumen!$C$10*Resumen!$C$13*(1+(Resumen!$C$16-1)*H8/Resumen!$C$18),IF(AND(H8&gt;=Resumen!$C$18,H8&lt;Resumen!$C$19),Resumen!$C$16*Resumen!$C$10*Resumen!$C$13,Resumen!$C$16*Resumen!$C$10*Resumen!$C$13*(Resumen!$C$19/H8)^Resumen!$C$17))</f>
        <v>0.84302521008403353</v>
      </c>
    </row>
    <row r="9" spans="1:10" x14ac:dyDescent="0.3">
      <c r="H9" s="3">
        <v>0.14000000000000001</v>
      </c>
      <c r="I9" s="3">
        <f>J9*Resumen!$E$66/(MIN(Resumen!$I$60:$I$61)*Resumen!$E$77*Resumen!$E$78)</f>
        <v>0.13333333333333333</v>
      </c>
      <c r="J9" s="3">
        <f>IF(H9&lt;Resumen!$C$18,Resumen!$C$10*Resumen!$C$13*(1+(Resumen!$C$16-1)*H9/Resumen!$C$18),IF(AND(H9&gt;=Resumen!$C$18,H9&lt;Resumen!$C$19),Resumen!$C$16*Resumen!$C$10*Resumen!$C$13,Resumen!$C$16*Resumen!$C$10*Resumen!$C$13*(Resumen!$C$19/H9)^Resumen!$C$17))</f>
        <v>0.8640000000000001</v>
      </c>
    </row>
    <row r="10" spans="1:10" x14ac:dyDescent="0.3">
      <c r="A10" s="1" t="s">
        <v>18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3">
        <v>0.16</v>
      </c>
      <c r="I10" s="3">
        <f>J10*Resumen!$E$66/(MIN(Resumen!$I$60:$I$61)*Resumen!$E$77*Resumen!$E$78)</f>
        <v>0.13333333333333333</v>
      </c>
      <c r="J10" s="3">
        <f>IF(H10&lt;Resumen!$C$18,Resumen!$C$10*Resumen!$C$13*(1+(Resumen!$C$16-1)*H10/Resumen!$C$18),IF(AND(H10&gt;=Resumen!$C$18,H10&lt;Resumen!$C$19),Resumen!$C$16*Resumen!$C$10*Resumen!$C$13,Resumen!$C$16*Resumen!$C$10*Resumen!$C$13*(Resumen!$C$19/H10)^Resumen!$C$17))</f>
        <v>0.8640000000000001</v>
      </c>
    </row>
    <row r="11" spans="1:10" x14ac:dyDescent="0.3">
      <c r="A11" s="1" t="s">
        <v>3</v>
      </c>
      <c r="B11" s="1">
        <v>0.9</v>
      </c>
      <c r="C11" s="1">
        <v>0.9</v>
      </c>
      <c r="D11" s="1">
        <v>0.9</v>
      </c>
      <c r="E11" s="1">
        <v>0.9</v>
      </c>
      <c r="F11" s="1">
        <v>0.9</v>
      </c>
      <c r="G11" s="1">
        <v>0.9</v>
      </c>
      <c r="H11" s="3">
        <v>0.18</v>
      </c>
      <c r="I11" s="3">
        <f>J11*Resumen!$E$66/(MIN(Resumen!$I$60:$I$61)*Resumen!$E$77*Resumen!$E$78)</f>
        <v>0.13333333333333333</v>
      </c>
      <c r="J11" s="3">
        <f>IF(H11&lt;Resumen!$C$18,Resumen!$C$10*Resumen!$C$13*(1+(Resumen!$C$16-1)*H11/Resumen!$C$18),IF(AND(H11&gt;=Resumen!$C$18,H11&lt;Resumen!$C$19),Resumen!$C$16*Resumen!$C$10*Resumen!$C$13,Resumen!$C$16*Resumen!$C$10*Resumen!$C$13*(Resumen!$C$19/H11)^Resumen!$C$17))</f>
        <v>0.8640000000000001</v>
      </c>
    </row>
    <row r="12" spans="1:10" x14ac:dyDescent="0.3">
      <c r="A12" s="1" t="s">
        <v>4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3">
        <v>0.2</v>
      </c>
      <c r="I12" s="3">
        <f>J12*Resumen!$E$66/(MIN(Resumen!$I$60:$I$61)*Resumen!$E$77*Resumen!$E$78)</f>
        <v>0.13333333333333333</v>
      </c>
      <c r="J12" s="3">
        <f>IF(H12&lt;Resumen!$C$18,Resumen!$C$10*Resumen!$C$13*(1+(Resumen!$C$16-1)*H12/Resumen!$C$18),IF(AND(H12&gt;=Resumen!$C$18,H12&lt;Resumen!$C$19),Resumen!$C$16*Resumen!$C$10*Resumen!$C$13,Resumen!$C$16*Resumen!$C$10*Resumen!$C$13*(Resumen!$C$19/H12)^Resumen!$C$17))</f>
        <v>0.8640000000000001</v>
      </c>
    </row>
    <row r="13" spans="1:10" x14ac:dyDescent="0.3">
      <c r="A13" s="1" t="s">
        <v>5</v>
      </c>
      <c r="B13" s="1">
        <v>1.4</v>
      </c>
      <c r="C13" s="1">
        <v>1.3</v>
      </c>
      <c r="D13" s="1">
        <v>1.25</v>
      </c>
      <c r="E13" s="1">
        <v>1.23</v>
      </c>
      <c r="F13" s="1">
        <v>1.2</v>
      </c>
      <c r="G13" s="1">
        <v>1.18</v>
      </c>
      <c r="H13" s="3">
        <v>0.22</v>
      </c>
      <c r="I13" s="3">
        <f>J13*Resumen!$E$66/(MIN(Resumen!$I$60:$I$61)*Resumen!$E$77*Resumen!$E$78)</f>
        <v>0.13333333333333333</v>
      </c>
      <c r="J13" s="3">
        <f>IF(H13&lt;Resumen!$C$18,Resumen!$C$10*Resumen!$C$13*(1+(Resumen!$C$16-1)*H13/Resumen!$C$18),IF(AND(H13&gt;=Resumen!$C$18,H13&lt;Resumen!$C$19),Resumen!$C$16*Resumen!$C$10*Resumen!$C$13,Resumen!$C$16*Resumen!$C$10*Resumen!$C$13*(Resumen!$C$19/H13)^Resumen!$C$17))</f>
        <v>0.8640000000000001</v>
      </c>
    </row>
    <row r="14" spans="1:10" x14ac:dyDescent="0.3">
      <c r="A14" s="1" t="s">
        <v>6</v>
      </c>
      <c r="B14" s="1">
        <v>1.6</v>
      </c>
      <c r="C14" s="1">
        <v>1.4</v>
      </c>
      <c r="D14" s="1">
        <v>1.3</v>
      </c>
      <c r="E14" s="1">
        <v>1.25</v>
      </c>
      <c r="F14" s="1">
        <v>1.2</v>
      </c>
      <c r="G14" s="1">
        <v>1.1200000000000001</v>
      </c>
      <c r="H14" s="3">
        <v>0.24</v>
      </c>
      <c r="I14" s="3">
        <f>J14*Resumen!$E$66/(MIN(Resumen!$I$60:$I$61)*Resumen!$E$77*Resumen!$E$78)</f>
        <v>0.13333333333333333</v>
      </c>
      <c r="J14" s="3">
        <f>IF(H14&lt;Resumen!$C$18,Resumen!$C$10*Resumen!$C$13*(1+(Resumen!$C$16-1)*H14/Resumen!$C$18),IF(AND(H14&gt;=Resumen!$C$18,H14&lt;Resumen!$C$19),Resumen!$C$16*Resumen!$C$10*Resumen!$C$13,Resumen!$C$16*Resumen!$C$10*Resumen!$C$13*(Resumen!$C$19/H14)^Resumen!$C$17))</f>
        <v>0.8640000000000001</v>
      </c>
    </row>
    <row r="15" spans="1:10" x14ac:dyDescent="0.3">
      <c r="A15" s="1" t="s">
        <v>7</v>
      </c>
      <c r="B15" s="1">
        <v>1.8</v>
      </c>
      <c r="C15" s="1">
        <v>1.4</v>
      </c>
      <c r="D15" s="1">
        <v>1.25</v>
      </c>
      <c r="E15" s="1">
        <v>1.1000000000000001</v>
      </c>
      <c r="F15" s="1">
        <v>1</v>
      </c>
      <c r="G15" s="1">
        <v>0.85</v>
      </c>
      <c r="H15" s="3">
        <v>0.26</v>
      </c>
      <c r="I15" s="3">
        <f>J15*Resumen!$E$66/(MIN(Resumen!$I$60:$I$61)*Resumen!$E$77*Resumen!$E$78)</f>
        <v>0.13333333333333333</v>
      </c>
      <c r="J15" s="3">
        <f>IF(H15&lt;Resumen!$C$18,Resumen!$C$10*Resumen!$C$13*(1+(Resumen!$C$16-1)*H15/Resumen!$C$18),IF(AND(H15&gt;=Resumen!$C$18,H15&lt;Resumen!$C$19),Resumen!$C$16*Resumen!$C$10*Resumen!$C$13,Resumen!$C$16*Resumen!$C$10*Resumen!$C$13*(Resumen!$C$19/H15)^Resumen!$C$17))</f>
        <v>0.8640000000000001</v>
      </c>
    </row>
    <row r="16" spans="1:10" x14ac:dyDescent="0.3">
      <c r="A16" s="1"/>
      <c r="H16" s="3">
        <v>0.28000000000000003</v>
      </c>
      <c r="I16" s="3">
        <f>J16*Resumen!$E$66/(MIN(Resumen!$I$60:$I$61)*Resumen!$E$77*Resumen!$E$78)</f>
        <v>0.13333333333333333</v>
      </c>
      <c r="J16" s="3">
        <f>IF(H16&lt;Resumen!$C$18,Resumen!$C$10*Resumen!$C$13*(1+(Resumen!$C$16-1)*H16/Resumen!$C$18),IF(AND(H16&gt;=Resumen!$C$18,H16&lt;Resumen!$C$19),Resumen!$C$16*Resumen!$C$10*Resumen!$C$13,Resumen!$C$16*Resumen!$C$10*Resumen!$C$13*(Resumen!$C$19/H16)^Resumen!$C$17))</f>
        <v>0.8640000000000001</v>
      </c>
    </row>
    <row r="17" spans="1:10" x14ac:dyDescent="0.3">
      <c r="A17" s="1" t="s">
        <v>19</v>
      </c>
      <c r="B17" s="1" t="s">
        <v>9</v>
      </c>
      <c r="C17" s="1" t="s">
        <v>10</v>
      </c>
      <c r="D17" s="1" t="s">
        <v>11</v>
      </c>
      <c r="E17" s="1" t="s">
        <v>12</v>
      </c>
      <c r="F17" s="1" t="s">
        <v>13</v>
      </c>
      <c r="G17" s="1" t="s">
        <v>14</v>
      </c>
      <c r="H17" s="3">
        <v>0.3</v>
      </c>
      <c r="I17" s="3">
        <f>J17*Resumen!$E$66/(MIN(Resumen!$I$60:$I$61)*Resumen!$E$77*Resumen!$E$78)</f>
        <v>0.13333333333333333</v>
      </c>
      <c r="J17" s="3">
        <f>IF(H17&lt;Resumen!$C$18,Resumen!$C$10*Resumen!$C$13*(1+(Resumen!$C$16-1)*H17/Resumen!$C$18),IF(AND(H17&gt;=Resumen!$C$18,H17&lt;Resumen!$C$19),Resumen!$C$16*Resumen!$C$10*Resumen!$C$13,Resumen!$C$16*Resumen!$C$10*Resumen!$C$13*(Resumen!$C$19/H17)^Resumen!$C$17))</f>
        <v>0.8640000000000001</v>
      </c>
    </row>
    <row r="18" spans="1:10" x14ac:dyDescent="0.3">
      <c r="A18" s="1" t="s">
        <v>3</v>
      </c>
      <c r="B18">
        <v>0.9</v>
      </c>
      <c r="C18">
        <v>0.9</v>
      </c>
      <c r="D18">
        <v>0.9</v>
      </c>
      <c r="E18">
        <v>0.9</v>
      </c>
      <c r="F18">
        <v>0.9</v>
      </c>
      <c r="G18">
        <v>0.9</v>
      </c>
      <c r="H18" s="3">
        <v>0.32</v>
      </c>
      <c r="I18" s="3">
        <f>J18*Resumen!$E$66/(MIN(Resumen!$I$60:$I$61)*Resumen!$E$77*Resumen!$E$78)</f>
        <v>0.13333333333333333</v>
      </c>
      <c r="J18" s="3">
        <f>IF(H18&lt;Resumen!$C$18,Resumen!$C$10*Resumen!$C$13*(1+(Resumen!$C$16-1)*H18/Resumen!$C$18),IF(AND(H18&gt;=Resumen!$C$18,H18&lt;Resumen!$C$19),Resumen!$C$16*Resumen!$C$10*Resumen!$C$13,Resumen!$C$16*Resumen!$C$10*Resumen!$C$13*(Resumen!$C$19/H18)^Resumen!$C$17))</f>
        <v>0.8640000000000001</v>
      </c>
    </row>
    <row r="19" spans="1:10" x14ac:dyDescent="0.3">
      <c r="A19" s="1" t="s">
        <v>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 s="3">
        <v>0.34</v>
      </c>
      <c r="I19" s="3">
        <f>J19*Resumen!$E$66/(MIN(Resumen!$I$60:$I$61)*Resumen!$E$77*Resumen!$E$78)</f>
        <v>0.13333333333333333</v>
      </c>
      <c r="J19" s="3">
        <f>IF(H19&lt;Resumen!$C$18,Resumen!$C$10*Resumen!$C$13*(1+(Resumen!$C$16-1)*H19/Resumen!$C$18),IF(AND(H19&gt;=Resumen!$C$18,H19&lt;Resumen!$C$19),Resumen!$C$16*Resumen!$C$10*Resumen!$C$13,Resumen!$C$16*Resumen!$C$10*Resumen!$C$13*(Resumen!$C$19/H19)^Resumen!$C$17))</f>
        <v>0.8640000000000001</v>
      </c>
    </row>
    <row r="20" spans="1:10" x14ac:dyDescent="0.3">
      <c r="A20" s="1" t="s">
        <v>5</v>
      </c>
      <c r="B20">
        <v>1.36</v>
      </c>
      <c r="C20">
        <v>1.28</v>
      </c>
      <c r="D20">
        <v>1.19</v>
      </c>
      <c r="E20">
        <v>1.1499999999999999</v>
      </c>
      <c r="F20">
        <v>1.1100000000000001</v>
      </c>
      <c r="G20">
        <v>1.06</v>
      </c>
      <c r="H20" s="3">
        <v>0.36</v>
      </c>
      <c r="I20" s="3">
        <f>J20*Resumen!$E$66/(MIN(Resumen!$I$60:$I$61)*Resumen!$E$77*Resumen!$E$78)</f>
        <v>0.13333333333333333</v>
      </c>
      <c r="J20" s="3">
        <f>IF(H20&lt;Resumen!$C$18,Resumen!$C$10*Resumen!$C$13*(1+(Resumen!$C$16-1)*H20/Resumen!$C$18),IF(AND(H20&gt;=Resumen!$C$18,H20&lt;Resumen!$C$19),Resumen!$C$16*Resumen!$C$10*Resumen!$C$13,Resumen!$C$16*Resumen!$C$10*Resumen!$C$13*(Resumen!$C$19/H20)^Resumen!$C$17))</f>
        <v>0.8640000000000001</v>
      </c>
    </row>
    <row r="21" spans="1:10" x14ac:dyDescent="0.3">
      <c r="A21" s="1" t="s">
        <v>6</v>
      </c>
      <c r="B21">
        <v>1.62</v>
      </c>
      <c r="C21">
        <v>1.45</v>
      </c>
      <c r="D21">
        <v>1.36</v>
      </c>
      <c r="E21">
        <v>1.28</v>
      </c>
      <c r="F21">
        <v>1.19</v>
      </c>
      <c r="G21">
        <v>1.1100000000000001</v>
      </c>
      <c r="H21" s="3">
        <v>0.38</v>
      </c>
      <c r="I21" s="3">
        <f>J21*Resumen!$E$66/(MIN(Resumen!$I$60:$I$61)*Resumen!$E$77*Resumen!$E$78)</f>
        <v>0.13333333333333333</v>
      </c>
      <c r="J21" s="3">
        <f>IF(H21&lt;Resumen!$C$18,Resumen!$C$10*Resumen!$C$13*(1+(Resumen!$C$16-1)*H21/Resumen!$C$18),IF(AND(H21&gt;=Resumen!$C$18,H21&lt;Resumen!$C$19),Resumen!$C$16*Resumen!$C$10*Resumen!$C$13,Resumen!$C$16*Resumen!$C$10*Resumen!$C$13*(Resumen!$C$19/H21)^Resumen!$C$17))</f>
        <v>0.8640000000000001</v>
      </c>
    </row>
    <row r="22" spans="1:10" x14ac:dyDescent="0.3">
      <c r="A22" s="1" t="s">
        <v>7</v>
      </c>
      <c r="B22">
        <v>2.1</v>
      </c>
      <c r="C22">
        <v>1.75</v>
      </c>
      <c r="D22">
        <v>1.7</v>
      </c>
      <c r="E22">
        <v>1.65</v>
      </c>
      <c r="F22">
        <v>1.6</v>
      </c>
      <c r="G22">
        <v>1.5</v>
      </c>
      <c r="H22" s="3">
        <v>0.4</v>
      </c>
      <c r="I22" s="3">
        <f>J22*Resumen!$E$66/(MIN(Resumen!$I$60:$I$61)*Resumen!$E$77*Resumen!$E$78)</f>
        <v>0.13333333333333333</v>
      </c>
      <c r="J22" s="3">
        <f>IF(H22&lt;Resumen!$C$18,Resumen!$C$10*Resumen!$C$13*(1+(Resumen!$C$16-1)*H22/Resumen!$C$18),IF(AND(H22&gt;=Resumen!$C$18,H22&lt;Resumen!$C$19),Resumen!$C$16*Resumen!$C$10*Resumen!$C$13,Resumen!$C$16*Resumen!$C$10*Resumen!$C$13*(Resumen!$C$19/H22)^Resumen!$C$17))</f>
        <v>0.8640000000000001</v>
      </c>
    </row>
    <row r="23" spans="1:10" x14ac:dyDescent="0.3">
      <c r="H23" s="3">
        <v>0.42</v>
      </c>
      <c r="I23" s="3">
        <f>J23*Resumen!$E$66/(MIN(Resumen!$I$60:$I$61)*Resumen!$E$77*Resumen!$E$78)</f>
        <v>0.13333333333333333</v>
      </c>
      <c r="J23" s="3">
        <f>IF(H23&lt;Resumen!$C$18,Resumen!$C$10*Resumen!$C$13*(1+(Resumen!$C$16-1)*H23/Resumen!$C$18),IF(AND(H23&gt;=Resumen!$C$18,H23&lt;Resumen!$C$19),Resumen!$C$16*Resumen!$C$10*Resumen!$C$13,Resumen!$C$16*Resumen!$C$10*Resumen!$C$13*(Resumen!$C$19/H23)^Resumen!$C$17))</f>
        <v>0.8640000000000001</v>
      </c>
    </row>
    <row r="24" spans="1:10" x14ac:dyDescent="0.3">
      <c r="A24" s="1" t="s">
        <v>23</v>
      </c>
      <c r="B24" s="1" t="s">
        <v>9</v>
      </c>
      <c r="C24" s="1" t="s">
        <v>10</v>
      </c>
      <c r="D24" s="1" t="s">
        <v>11</v>
      </c>
      <c r="E24" s="1" t="s">
        <v>12</v>
      </c>
      <c r="F24" s="1" t="s">
        <v>13</v>
      </c>
      <c r="G24" s="1" t="s">
        <v>14</v>
      </c>
      <c r="H24" s="3">
        <v>0.44</v>
      </c>
      <c r="I24" s="3">
        <f>J24*Resumen!$E$66/(MIN(Resumen!$I$60:$I$61)*Resumen!$E$77*Resumen!$E$78)</f>
        <v>0.13333333333333333</v>
      </c>
      <c r="J24" s="3">
        <f>IF(H24&lt;Resumen!$C$18,Resumen!$C$10*Resumen!$C$13*(1+(Resumen!$C$16-1)*H24/Resumen!$C$18),IF(AND(H24&gt;=Resumen!$C$18,H24&lt;Resumen!$C$19),Resumen!$C$16*Resumen!$C$10*Resumen!$C$13,Resumen!$C$16*Resumen!$C$10*Resumen!$C$13*(Resumen!$C$19/H24)^Resumen!$C$17))</f>
        <v>0.8640000000000001</v>
      </c>
    </row>
    <row r="25" spans="1:10" x14ac:dyDescent="0.3">
      <c r="A25" s="1" t="s">
        <v>3</v>
      </c>
      <c r="B25">
        <v>0.75</v>
      </c>
      <c r="C25">
        <v>0.75</v>
      </c>
      <c r="D25">
        <v>0.75</v>
      </c>
      <c r="E25">
        <v>0.75</v>
      </c>
      <c r="F25">
        <v>0.75</v>
      </c>
      <c r="G25">
        <v>0.75</v>
      </c>
      <c r="H25" s="3">
        <v>0.46</v>
      </c>
      <c r="I25" s="3">
        <f>J25*Resumen!$E$66/(MIN(Resumen!$I$60:$I$61)*Resumen!$E$77*Resumen!$E$78)</f>
        <v>0.13333333333333333</v>
      </c>
      <c r="J25" s="3">
        <f>IF(H25&lt;Resumen!$C$18,Resumen!$C$10*Resumen!$C$13*(1+(Resumen!$C$16-1)*H25/Resumen!$C$18),IF(AND(H25&gt;=Resumen!$C$18,H25&lt;Resumen!$C$19),Resumen!$C$16*Resumen!$C$10*Resumen!$C$13,Resumen!$C$16*Resumen!$C$10*Resumen!$C$13*(Resumen!$C$19/H25)^Resumen!$C$17))</f>
        <v>0.8640000000000001</v>
      </c>
    </row>
    <row r="26" spans="1:10" x14ac:dyDescent="0.3">
      <c r="A26" s="1" t="s">
        <v>4</v>
      </c>
      <c r="B26">
        <v>0.75</v>
      </c>
      <c r="C26">
        <v>0.75</v>
      </c>
      <c r="D26">
        <v>0.75</v>
      </c>
      <c r="E26">
        <v>0.75</v>
      </c>
      <c r="F26">
        <v>0.75</v>
      </c>
      <c r="G26">
        <v>0.75</v>
      </c>
      <c r="H26" s="3">
        <v>0.48</v>
      </c>
      <c r="I26" s="3">
        <f>J26*Resumen!$E$66/(MIN(Resumen!$I$60:$I$61)*Resumen!$E$77*Resumen!$E$78)</f>
        <v>0.13333333333333333</v>
      </c>
      <c r="J26" s="3">
        <f>IF(H26&lt;Resumen!$C$18,Resumen!$C$10*Resumen!$C$13*(1+(Resumen!$C$16-1)*H26/Resumen!$C$18),IF(AND(H26&gt;=Resumen!$C$18,H26&lt;Resumen!$C$19),Resumen!$C$16*Resumen!$C$10*Resumen!$C$13,Resumen!$C$16*Resumen!$C$10*Resumen!$C$13*(Resumen!$C$19/H26)^Resumen!$C$17))</f>
        <v>0.8640000000000001</v>
      </c>
    </row>
    <row r="27" spans="1:10" x14ac:dyDescent="0.3">
      <c r="A27" s="1" t="s">
        <v>5</v>
      </c>
      <c r="B27">
        <v>0.85</v>
      </c>
      <c r="C27">
        <v>0.94</v>
      </c>
      <c r="D27">
        <v>1.02</v>
      </c>
      <c r="E27">
        <v>1.06</v>
      </c>
      <c r="F27">
        <v>1.1100000000000001</v>
      </c>
      <c r="G27">
        <v>1.23</v>
      </c>
      <c r="H27" s="3">
        <v>0.5</v>
      </c>
      <c r="I27" s="3">
        <f>J27*Resumen!$E$66/(MIN(Resumen!$I$60:$I$61)*Resumen!$E$77*Resumen!$E$78)</f>
        <v>0.13333333333333333</v>
      </c>
      <c r="J27" s="3">
        <f>IF(H27&lt;Resumen!$C$18,Resumen!$C$10*Resumen!$C$13*(1+(Resumen!$C$16-1)*H27/Resumen!$C$18),IF(AND(H27&gt;=Resumen!$C$18,H27&lt;Resumen!$C$19),Resumen!$C$16*Resumen!$C$10*Resumen!$C$13,Resumen!$C$16*Resumen!$C$10*Resumen!$C$13*(Resumen!$C$19/H27)^Resumen!$C$17))</f>
        <v>0.8640000000000001</v>
      </c>
    </row>
    <row r="28" spans="1:10" x14ac:dyDescent="0.3">
      <c r="A28" s="1" t="s">
        <v>6</v>
      </c>
      <c r="B28">
        <v>1.02</v>
      </c>
      <c r="C28">
        <v>1.06</v>
      </c>
      <c r="D28">
        <v>1.1100000000000001</v>
      </c>
      <c r="E28">
        <v>1.19</v>
      </c>
      <c r="F28">
        <v>1.28</v>
      </c>
      <c r="G28">
        <v>1.4</v>
      </c>
      <c r="H28" s="3">
        <v>0.52</v>
      </c>
      <c r="I28" s="3">
        <f>J28*Resumen!$E$66/(MIN(Resumen!$I$60:$I$61)*Resumen!$E$77*Resumen!$E$78)</f>
        <v>0.13333333333333333</v>
      </c>
      <c r="J28" s="3">
        <f>IF(H28&lt;Resumen!$C$18,Resumen!$C$10*Resumen!$C$13*(1+(Resumen!$C$16-1)*H28/Resumen!$C$18),IF(AND(H28&gt;=Resumen!$C$18,H28&lt;Resumen!$C$19),Resumen!$C$16*Resumen!$C$10*Resumen!$C$13,Resumen!$C$16*Resumen!$C$10*Resumen!$C$13*(Resumen!$C$19/H28)^Resumen!$C$17))</f>
        <v>0.8640000000000001</v>
      </c>
    </row>
    <row r="29" spans="1:10" x14ac:dyDescent="0.3">
      <c r="A29" s="1" t="s">
        <v>7</v>
      </c>
      <c r="B29">
        <v>1.5</v>
      </c>
      <c r="C29">
        <v>1.6</v>
      </c>
      <c r="D29">
        <v>1.7</v>
      </c>
      <c r="E29">
        <v>1.8</v>
      </c>
      <c r="F29">
        <v>1.9</v>
      </c>
      <c r="G29">
        <v>2</v>
      </c>
      <c r="H29" s="3">
        <v>0.54</v>
      </c>
      <c r="I29" s="3">
        <f>J29*Resumen!$E$66/(MIN(Resumen!$I$60:$I$61)*Resumen!$E$77*Resumen!$E$78)</f>
        <v>0.13333333333333333</v>
      </c>
      <c r="J29" s="3">
        <f>IF(H29&lt;Resumen!$C$18,Resumen!$C$10*Resumen!$C$13*(1+(Resumen!$C$16-1)*H29/Resumen!$C$18),IF(AND(H29&gt;=Resumen!$C$18,H29&lt;Resumen!$C$19),Resumen!$C$16*Resumen!$C$10*Resumen!$C$13,Resumen!$C$16*Resumen!$C$10*Resumen!$C$13*(Resumen!$C$19/H29)^Resumen!$C$17))</f>
        <v>0.8640000000000001</v>
      </c>
    </row>
    <row r="30" spans="1:10" x14ac:dyDescent="0.3">
      <c r="H30" s="3">
        <v>0.56000000000000005</v>
      </c>
      <c r="I30" s="3">
        <f>J30*Resumen!$E$66/(MIN(Resumen!$I$60:$I$61)*Resumen!$E$77*Resumen!$E$78)</f>
        <v>0.13333333333333333</v>
      </c>
      <c r="J30" s="3">
        <f>IF(H30&lt;Resumen!$C$18,Resumen!$C$10*Resumen!$C$13*(1+(Resumen!$C$16-1)*H30/Resumen!$C$18),IF(AND(H30&gt;=Resumen!$C$18,H30&lt;Resumen!$C$19),Resumen!$C$16*Resumen!$C$10*Resumen!$C$13,Resumen!$C$16*Resumen!$C$10*Resumen!$C$13*(Resumen!$C$19/H30)^Resumen!$C$17))</f>
        <v>0.8640000000000001</v>
      </c>
    </row>
    <row r="31" spans="1:10" x14ac:dyDescent="0.3">
      <c r="B31" t="s">
        <v>46</v>
      </c>
      <c r="C31" s="4" t="s">
        <v>47</v>
      </c>
      <c r="F31" t="s">
        <v>9</v>
      </c>
      <c r="H31" s="3">
        <v>0.57999999999999996</v>
      </c>
      <c r="I31" s="3">
        <f>J31*Resumen!$E$66/(MIN(Resumen!$I$60:$I$61)*Resumen!$E$77*Resumen!$E$78)</f>
        <v>0.13333333333333333</v>
      </c>
      <c r="J31" s="3">
        <f>IF(H31&lt;Resumen!$C$18,Resumen!$C$10*Resumen!$C$13*(1+(Resumen!$C$16-1)*H31/Resumen!$C$18),IF(AND(H31&gt;=Resumen!$C$18,H31&lt;Resumen!$C$19),Resumen!$C$16*Resumen!$C$10*Resumen!$C$13,Resumen!$C$16*Resumen!$C$10*Resumen!$C$13*(Resumen!$C$19/H31)^Resumen!$C$17))</f>
        <v>0.8640000000000001</v>
      </c>
    </row>
    <row r="32" spans="1:10" x14ac:dyDescent="0.3">
      <c r="A32" t="s">
        <v>53</v>
      </c>
      <c r="B32">
        <v>7.1999999999999995E-2</v>
      </c>
      <c r="C32">
        <v>0.8</v>
      </c>
      <c r="E32" t="s">
        <v>67</v>
      </c>
      <c r="F32">
        <v>1.5</v>
      </c>
      <c r="H32" s="3">
        <v>0.6</v>
      </c>
      <c r="I32" s="3">
        <f>J32*Resumen!$E$66/(MIN(Resumen!$I$60:$I$61)*Resumen!$E$77*Resumen!$E$78)</f>
        <v>0.13333333333333333</v>
      </c>
      <c r="J32" s="3">
        <f>IF(H32&lt;Resumen!$C$18,Resumen!$C$10*Resumen!$C$13*(1+(Resumen!$C$16-1)*H32/Resumen!$C$18),IF(AND(H32&gt;=Resumen!$C$18,H32&lt;Resumen!$C$19),Resumen!$C$16*Resumen!$C$10*Resumen!$C$13,Resumen!$C$16*Resumen!$C$10*Resumen!$C$13*(Resumen!$C$19/H32)^Resumen!$C$17))</f>
        <v>0.8640000000000001</v>
      </c>
    </row>
    <row r="33" spans="1:10" x14ac:dyDescent="0.3">
      <c r="A33" t="s">
        <v>45</v>
      </c>
      <c r="B33">
        <v>7.2999999999999995E-2</v>
      </c>
      <c r="C33">
        <v>0.75</v>
      </c>
      <c r="E33" t="s">
        <v>68</v>
      </c>
      <c r="F33">
        <v>1.3</v>
      </c>
      <c r="H33" s="3">
        <v>0.62</v>
      </c>
      <c r="I33" s="3">
        <f>J33*Resumen!$E$66/(MIN(Resumen!$I$60:$I$61)*Resumen!$E$77*Resumen!$E$78)</f>
        <v>0.13333333333333333</v>
      </c>
      <c r="J33" s="3">
        <f>IF(H33&lt;Resumen!$C$18,Resumen!$C$10*Resumen!$C$13*(1+(Resumen!$C$16-1)*H33/Resumen!$C$18),IF(AND(H33&gt;=Resumen!$C$18,H33&lt;Resumen!$C$19),Resumen!$C$16*Resumen!$C$10*Resumen!$C$13,Resumen!$C$16*Resumen!$C$10*Resumen!$C$13*(Resumen!$C$19/H33)^Resumen!$C$17))</f>
        <v>0.8640000000000001</v>
      </c>
    </row>
    <row r="34" spans="1:10" x14ac:dyDescent="0.3">
      <c r="A34" t="s">
        <v>50</v>
      </c>
      <c r="B34">
        <v>5.5E-2</v>
      </c>
      <c r="C34">
        <v>0.9</v>
      </c>
      <c r="E34" t="s">
        <v>69</v>
      </c>
      <c r="F34">
        <v>1</v>
      </c>
      <c r="H34" s="3">
        <v>0.64</v>
      </c>
      <c r="I34" s="3">
        <f>J34*Resumen!$E$66/(MIN(Resumen!$I$60:$I$61)*Resumen!$E$77*Resumen!$E$78)</f>
        <v>0.13333333333333333</v>
      </c>
      <c r="J34" s="3">
        <f>IF(H34&lt;Resumen!$C$18,Resumen!$C$10*Resumen!$C$13*(1+(Resumen!$C$16-1)*H34/Resumen!$C$18),IF(AND(H34&gt;=Resumen!$C$18,H34&lt;Resumen!$C$19),Resumen!$C$16*Resumen!$C$10*Resumen!$C$13,Resumen!$C$16*Resumen!$C$10*Resumen!$C$13*(Resumen!$C$19/H34)^Resumen!$C$17))</f>
        <v>0.8640000000000001</v>
      </c>
    </row>
    <row r="35" spans="1:10" x14ac:dyDescent="0.3">
      <c r="A35" t="s">
        <v>51</v>
      </c>
      <c r="B35">
        <v>5.5E-2</v>
      </c>
      <c r="C35">
        <v>0.75</v>
      </c>
      <c r="H35" s="3">
        <v>0.66</v>
      </c>
      <c r="I35" s="3">
        <f>J35*Resumen!$E$66/(MIN(Resumen!$I$60:$I$61)*Resumen!$E$77*Resumen!$E$78)</f>
        <v>0.13333333333333333</v>
      </c>
      <c r="J35" s="3">
        <f>IF(H35&lt;Resumen!$C$18,Resumen!$C$10*Resumen!$C$13*(1+(Resumen!$C$16-1)*H35/Resumen!$C$18),IF(AND(H35&gt;=Resumen!$C$18,H35&lt;Resumen!$C$19),Resumen!$C$16*Resumen!$C$10*Resumen!$C$13,Resumen!$C$16*Resumen!$C$10*Resumen!$C$13*(Resumen!$C$19/H35)^Resumen!$C$17))</f>
        <v>0.8640000000000001</v>
      </c>
    </row>
    <row r="36" spans="1:10" x14ac:dyDescent="0.3">
      <c r="H36" s="3">
        <v>0.68</v>
      </c>
      <c r="I36" s="3">
        <f>J36*Resumen!$E$66/(MIN(Resumen!$I$60:$I$61)*Resumen!$E$77*Resumen!$E$78)</f>
        <v>0.13333333333333333</v>
      </c>
      <c r="J36" s="3">
        <f>IF(H36&lt;Resumen!$C$18,Resumen!$C$10*Resumen!$C$13*(1+(Resumen!$C$16-1)*H36/Resumen!$C$18),IF(AND(H36&gt;=Resumen!$C$18,H36&lt;Resumen!$C$19),Resumen!$C$16*Resumen!$C$10*Resumen!$C$13,Resumen!$C$16*Resumen!$C$10*Resumen!$C$13*(Resumen!$C$19/H36)^Resumen!$C$17))</f>
        <v>0.8640000000000001</v>
      </c>
    </row>
    <row r="37" spans="1:10" x14ac:dyDescent="0.3">
      <c r="H37" s="3">
        <v>0.7</v>
      </c>
      <c r="I37" s="3">
        <f>J37*Resumen!$E$66/(MIN(Resumen!$I$60:$I$61)*Resumen!$E$77*Resumen!$E$78)</f>
        <v>0.13297777777777781</v>
      </c>
      <c r="J37" s="3">
        <f>IF(H37&lt;Resumen!$C$18,Resumen!$C$10*Resumen!$C$13*(1+(Resumen!$C$16-1)*H37/Resumen!$C$18),IF(AND(H37&gt;=Resumen!$C$18,H37&lt;Resumen!$C$19),Resumen!$C$16*Resumen!$C$10*Resumen!$C$13,Resumen!$C$16*Resumen!$C$10*Resumen!$C$13*(Resumen!$C$19/H37)^Resumen!$C$17))</f>
        <v>0.86169600000000024</v>
      </c>
    </row>
    <row r="38" spans="1:10" x14ac:dyDescent="0.3">
      <c r="H38" s="3">
        <v>0.72</v>
      </c>
      <c r="I38" s="3">
        <f>J38*Resumen!$E$66/(MIN(Resumen!$I$60:$I$61)*Resumen!$E$77*Resumen!$E$78)</f>
        <v>0.12928395061728395</v>
      </c>
      <c r="J38" s="3">
        <f>IF(H38&lt;Resumen!$C$18,Resumen!$C$10*Resumen!$C$13*(1+(Resumen!$C$16-1)*H38/Resumen!$C$18),IF(AND(H38&gt;=Resumen!$C$18,H38&lt;Resumen!$C$19),Resumen!$C$16*Resumen!$C$10*Resumen!$C$13,Resumen!$C$16*Resumen!$C$10*Resumen!$C$13*(Resumen!$C$19/H38)^Resumen!$C$17))</f>
        <v>0.83776000000000017</v>
      </c>
    </row>
    <row r="39" spans="1:10" x14ac:dyDescent="0.3">
      <c r="H39" s="3">
        <v>0.74</v>
      </c>
      <c r="I39" s="3">
        <f>J39*Resumen!$E$66/(MIN(Resumen!$I$60:$I$61)*Resumen!$E$77*Resumen!$E$78)</f>
        <v>0.12578978978978983</v>
      </c>
      <c r="J39" s="3">
        <f>IF(H39&lt;Resumen!$C$18,Resumen!$C$10*Resumen!$C$13*(1+(Resumen!$C$16-1)*H39/Resumen!$C$18),IF(AND(H39&gt;=Resumen!$C$18,H39&lt;Resumen!$C$19),Resumen!$C$16*Resumen!$C$10*Resumen!$C$13,Resumen!$C$16*Resumen!$C$10*Resumen!$C$13*(Resumen!$C$19/H39)^Resumen!$C$17))</f>
        <v>0.81511783783783809</v>
      </c>
    </row>
    <row r="40" spans="1:10" x14ac:dyDescent="0.3">
      <c r="H40" s="3">
        <v>0.76</v>
      </c>
      <c r="I40" s="3">
        <f>J40*Resumen!$E$66/(MIN(Resumen!$I$60:$I$61)*Resumen!$E$77*Resumen!$E$78)</f>
        <v>0.1224795321637427</v>
      </c>
      <c r="J40" s="3">
        <f>IF(H40&lt;Resumen!$C$18,Resumen!$C$10*Resumen!$C$13*(1+(Resumen!$C$16-1)*H40/Resumen!$C$18),IF(AND(H40&gt;=Resumen!$C$18,H40&lt;Resumen!$C$19),Resumen!$C$16*Resumen!$C$10*Resumen!$C$13,Resumen!$C$16*Resumen!$C$10*Resumen!$C$13*(Resumen!$C$19/H40)^Resumen!$C$17))</f>
        <v>0.79366736842105279</v>
      </c>
    </row>
    <row r="41" spans="1:10" x14ac:dyDescent="0.3">
      <c r="H41" s="3">
        <v>0.78</v>
      </c>
      <c r="I41" s="3">
        <f>J41*Resumen!$E$66/(MIN(Resumen!$I$60:$I$61)*Resumen!$E$77*Resumen!$E$78)</f>
        <v>0.11933903133903136</v>
      </c>
      <c r="J41" s="3">
        <f>IF(H41&lt;Resumen!$C$18,Resumen!$C$10*Resumen!$C$13*(1+(Resumen!$C$16-1)*H41/Resumen!$C$18),IF(AND(H41&gt;=Resumen!$C$18,H41&lt;Resumen!$C$19),Resumen!$C$16*Resumen!$C$10*Resumen!$C$13,Resumen!$C$16*Resumen!$C$10*Resumen!$C$13*(Resumen!$C$19/H41)^Resumen!$C$17))</f>
        <v>0.77331692307692323</v>
      </c>
    </row>
    <row r="42" spans="1:10" x14ac:dyDescent="0.3">
      <c r="H42" s="3">
        <v>0.8</v>
      </c>
      <c r="I42" s="3">
        <f>J42*Resumen!$E$66/(MIN(Resumen!$I$60:$I$61)*Resumen!$E$77*Resumen!$E$78)</f>
        <v>0.11635555555555556</v>
      </c>
      <c r="J42" s="3">
        <f>IF(H42&lt;Resumen!$C$18,Resumen!$C$10*Resumen!$C$13*(1+(Resumen!$C$16-1)*H42/Resumen!$C$18),IF(AND(H42&gt;=Resumen!$C$18,H42&lt;Resumen!$C$19),Resumen!$C$16*Resumen!$C$10*Resumen!$C$13,Resumen!$C$16*Resumen!$C$10*Resumen!$C$13*(Resumen!$C$19/H42)^Resumen!$C$17))</f>
        <v>0.7539840000000001</v>
      </c>
    </row>
    <row r="43" spans="1:10" x14ac:dyDescent="0.3">
      <c r="H43" s="3">
        <v>0.82</v>
      </c>
      <c r="I43" s="3">
        <f>J43*Resumen!$E$66/(MIN(Resumen!$I$60:$I$61)*Resumen!$E$77*Resumen!$E$78)</f>
        <v>0.1135176151761518</v>
      </c>
      <c r="J43" s="3">
        <f>IF(H43&lt;Resumen!$C$18,Resumen!$C$10*Resumen!$C$13*(1+(Resumen!$C$16-1)*H43/Resumen!$C$18),IF(AND(H43&gt;=Resumen!$C$18,H43&lt;Resumen!$C$19),Resumen!$C$16*Resumen!$C$10*Resumen!$C$13,Resumen!$C$16*Resumen!$C$10*Resumen!$C$13*(Resumen!$C$19/H43)^Resumen!$C$17))</f>
        <v>0.73559414634146369</v>
      </c>
    </row>
    <row r="44" spans="1:10" x14ac:dyDescent="0.3">
      <c r="H44" s="3">
        <v>0.84</v>
      </c>
      <c r="I44" s="3">
        <f>J44*Resumen!$E$66/(MIN(Resumen!$I$60:$I$61)*Resumen!$E$77*Resumen!$E$78)</f>
        <v>0.11081481481481484</v>
      </c>
      <c r="J44" s="3">
        <f>IF(H44&lt;Resumen!$C$18,Resumen!$C$10*Resumen!$C$13*(1+(Resumen!$C$16-1)*H44/Resumen!$C$18),IF(AND(H44&gt;=Resumen!$C$18,H44&lt;Resumen!$C$19),Resumen!$C$16*Resumen!$C$10*Resumen!$C$13,Resumen!$C$16*Resumen!$C$10*Resumen!$C$13*(Resumen!$C$19/H44)^Resumen!$C$17))</f>
        <v>0.71808000000000016</v>
      </c>
    </row>
    <row r="45" spans="1:10" x14ac:dyDescent="0.3">
      <c r="H45" s="3">
        <v>0.86</v>
      </c>
      <c r="I45" s="3">
        <f>J45*Resumen!$E$66/(MIN(Resumen!$I$60:$I$61)*Resumen!$E$77*Resumen!$E$78)</f>
        <v>0.10823772609819123</v>
      </c>
      <c r="J45" s="3">
        <f>IF(H45&lt;Resumen!$C$18,Resumen!$C$10*Resumen!$C$13*(1+(Resumen!$C$16-1)*H45/Resumen!$C$18),IF(AND(H45&gt;=Resumen!$C$18,H45&lt;Resumen!$C$19),Resumen!$C$16*Resumen!$C$10*Resumen!$C$13,Resumen!$C$16*Resumen!$C$10*Resumen!$C$13*(Resumen!$C$19/H45)^Resumen!$C$17))</f>
        <v>0.70138046511627916</v>
      </c>
    </row>
    <row r="46" spans="1:10" x14ac:dyDescent="0.3">
      <c r="H46" s="3">
        <v>0.88</v>
      </c>
      <c r="I46" s="3">
        <f>J46*Resumen!$E$66/(MIN(Resumen!$I$60:$I$61)*Resumen!$E$77*Resumen!$E$78)</f>
        <v>0.10577777777777778</v>
      </c>
      <c r="J46" s="3">
        <f>IF(H46&lt;Resumen!$C$18,Resumen!$C$10*Resumen!$C$13*(1+(Resumen!$C$16-1)*H46/Resumen!$C$18),IF(AND(H46&gt;=Resumen!$C$18,H46&lt;Resumen!$C$19),Resumen!$C$16*Resumen!$C$10*Resumen!$C$13,Resumen!$C$16*Resumen!$C$10*Resumen!$C$13*(Resumen!$C$19/H46)^Resumen!$C$17))</f>
        <v>0.68544000000000005</v>
      </c>
    </row>
    <row r="47" spans="1:10" x14ac:dyDescent="0.3">
      <c r="H47" s="3">
        <v>0.9</v>
      </c>
      <c r="I47" s="3">
        <f>J47*Resumen!$E$66/(MIN(Resumen!$I$60:$I$61)*Resumen!$E$77*Resumen!$E$78)</f>
        <v>0.10342716049382718</v>
      </c>
      <c r="J47" s="3">
        <f>IF(H47&lt;Resumen!$C$18,Resumen!$C$10*Resumen!$C$13*(1+(Resumen!$C$16-1)*H47/Resumen!$C$18),IF(AND(H47&gt;=Resumen!$C$18,H47&lt;Resumen!$C$19),Resumen!$C$16*Resumen!$C$10*Resumen!$C$13,Resumen!$C$16*Resumen!$C$10*Resumen!$C$13*(Resumen!$C$19/H47)^Resumen!$C$17))</f>
        <v>0.67020800000000014</v>
      </c>
    </row>
    <row r="48" spans="1:10" x14ac:dyDescent="0.3">
      <c r="H48" s="3">
        <v>0.92</v>
      </c>
      <c r="I48" s="3">
        <f>J48*Resumen!$E$66/(MIN(Resumen!$I$60:$I$61)*Resumen!$E$77*Resumen!$E$78)</f>
        <v>0.10117874396135267</v>
      </c>
      <c r="J48" s="3">
        <f>IF(H48&lt;Resumen!$C$18,Resumen!$C$10*Resumen!$C$13*(1+(Resumen!$C$16-1)*H48/Resumen!$C$18),IF(AND(H48&gt;=Resumen!$C$18,H48&lt;Resumen!$C$19),Resumen!$C$16*Resumen!$C$10*Resumen!$C$13,Resumen!$C$16*Resumen!$C$10*Resumen!$C$13*(Resumen!$C$19/H48)^Resumen!$C$17))</f>
        <v>0.65563826086956534</v>
      </c>
    </row>
    <row r="49" spans="8:10" x14ac:dyDescent="0.3">
      <c r="H49" s="3">
        <v>0.94</v>
      </c>
      <c r="I49" s="3">
        <f>J49*Resumen!$E$66/(MIN(Resumen!$I$60:$I$61)*Resumen!$E$77*Resumen!$E$78)</f>
        <v>9.9026004728132402E-2</v>
      </c>
      <c r="J49" s="3">
        <f>IF(H49&lt;Resumen!$C$18,Resumen!$C$10*Resumen!$C$13*(1+(Resumen!$C$16-1)*H49/Resumen!$C$18),IF(AND(H49&gt;=Resumen!$C$18,H49&lt;Resumen!$C$19),Resumen!$C$16*Resumen!$C$10*Resumen!$C$13,Resumen!$C$16*Resumen!$C$10*Resumen!$C$13*(Resumen!$C$19/H49)^Resumen!$C$17))</f>
        <v>0.64168851063829802</v>
      </c>
    </row>
    <row r="50" spans="8:10" x14ac:dyDescent="0.3">
      <c r="H50" s="3">
        <v>0.96</v>
      </c>
      <c r="I50" s="3">
        <f>J50*Resumen!$E$66/(MIN(Resumen!$I$60:$I$61)*Resumen!$E$77*Resumen!$E$78)</f>
        <v>9.6962962962962987E-2</v>
      </c>
      <c r="J50" s="3">
        <f>IF(H50&lt;Resumen!$C$18,Resumen!$C$10*Resumen!$C$13*(1+(Resumen!$C$16-1)*H50/Resumen!$C$18),IF(AND(H50&gt;=Resumen!$C$18,H50&lt;Resumen!$C$19),Resumen!$C$16*Resumen!$C$10*Resumen!$C$13,Resumen!$C$16*Resumen!$C$10*Resumen!$C$13*(Resumen!$C$19/H50)^Resumen!$C$17))</f>
        <v>0.62832000000000021</v>
      </c>
    </row>
    <row r="51" spans="8:10" x14ac:dyDescent="0.3">
      <c r="H51" s="3">
        <v>0.98</v>
      </c>
      <c r="I51" s="3">
        <f>J51*Resumen!$E$66/(MIN(Resumen!$I$60:$I$61)*Resumen!$E$77*Resumen!$E$78)</f>
        <v>9.498412698412699E-2</v>
      </c>
      <c r="J51" s="3">
        <f>IF(H51&lt;Resumen!$C$18,Resumen!$C$10*Resumen!$C$13*(1+(Resumen!$C$16-1)*H51/Resumen!$C$18),IF(AND(H51&gt;=Resumen!$C$18,H51&lt;Resumen!$C$19),Resumen!$C$16*Resumen!$C$10*Resumen!$C$13,Resumen!$C$16*Resumen!$C$10*Resumen!$C$13*(Resumen!$C$19/H51)^Resumen!$C$17))</f>
        <v>0.61549714285714296</v>
      </c>
    </row>
    <row r="52" spans="8:10" x14ac:dyDescent="0.3">
      <c r="H52" s="3">
        <v>1</v>
      </c>
      <c r="I52" s="3">
        <f>J52*Resumen!$E$66/(MIN(Resumen!$I$60:$I$61)*Resumen!$E$77*Resumen!$E$78)</f>
        <v>9.3084444444444456E-2</v>
      </c>
      <c r="J52" s="3">
        <f>IF(H52&lt;Resumen!$C$18,Resumen!$C$10*Resumen!$C$13*(1+(Resumen!$C$16-1)*H52/Resumen!$C$18),IF(AND(H52&gt;=Resumen!$C$18,H52&lt;Resumen!$C$19),Resumen!$C$16*Resumen!$C$10*Resumen!$C$13,Resumen!$C$16*Resumen!$C$10*Resumen!$C$13*(Resumen!$C$19/H52)^Resumen!$C$17))</f>
        <v>0.60318720000000015</v>
      </c>
    </row>
    <row r="53" spans="8:10" x14ac:dyDescent="0.3">
      <c r="H53" s="3">
        <v>1.02</v>
      </c>
      <c r="I53" s="3">
        <f>J53*Resumen!$E$66/(MIN(Resumen!$I$60:$I$61)*Resumen!$E$77*Resumen!$E$78)</f>
        <v>9.1259259259259276E-2</v>
      </c>
      <c r="J53" s="3">
        <f>IF(H53&lt;Resumen!$C$18,Resumen!$C$10*Resumen!$C$13*(1+(Resumen!$C$16-1)*H53/Resumen!$C$18),IF(AND(H53&gt;=Resumen!$C$18,H53&lt;Resumen!$C$19),Resumen!$C$16*Resumen!$C$10*Resumen!$C$13,Resumen!$C$16*Resumen!$C$10*Resumen!$C$13*(Resumen!$C$19/H53)^Resumen!$C$17))</f>
        <v>0.59136000000000011</v>
      </c>
    </row>
    <row r="54" spans="8:10" x14ac:dyDescent="0.3">
      <c r="H54" s="3">
        <v>1.04</v>
      </c>
      <c r="I54" s="3">
        <f>J54*Resumen!$E$66/(MIN(Resumen!$I$60:$I$61)*Resumen!$E$77*Resumen!$E$78)</f>
        <v>8.9504273504273521E-2</v>
      </c>
      <c r="J54" s="3">
        <f>IF(H54&lt;Resumen!$C$18,Resumen!$C$10*Resumen!$C$13*(1+(Resumen!$C$16-1)*H54/Resumen!$C$18),IF(AND(H54&gt;=Resumen!$C$18,H54&lt;Resumen!$C$19),Resumen!$C$16*Resumen!$C$10*Resumen!$C$13,Resumen!$C$16*Resumen!$C$10*Resumen!$C$13*(Resumen!$C$19/H54)^Resumen!$C$17))</f>
        <v>0.57998769230769243</v>
      </c>
    </row>
    <row r="55" spans="8:10" x14ac:dyDescent="0.3">
      <c r="H55" s="3">
        <v>1.06</v>
      </c>
      <c r="I55" s="3">
        <f>J55*Resumen!$E$66/(MIN(Resumen!$I$60:$I$61)*Resumen!$E$77*Resumen!$E$78)</f>
        <v>8.7815513626834388E-2</v>
      </c>
      <c r="J55" s="3">
        <f>IF(H55&lt;Resumen!$C$18,Resumen!$C$10*Resumen!$C$13*(1+(Resumen!$C$16-1)*H55/Resumen!$C$18),IF(AND(H55&gt;=Resumen!$C$18,H55&lt;Resumen!$C$19),Resumen!$C$16*Resumen!$C$10*Resumen!$C$13,Resumen!$C$16*Resumen!$C$10*Resumen!$C$13*(Resumen!$C$19/H55)^Resumen!$C$17))</f>
        <v>0.5690445283018869</v>
      </c>
    </row>
    <row r="56" spans="8:10" x14ac:dyDescent="0.3">
      <c r="H56" s="3">
        <v>1.08</v>
      </c>
      <c r="I56" s="3">
        <f>J56*Resumen!$E$66/(MIN(Resumen!$I$60:$I$61)*Resumen!$E$77*Resumen!$E$78)</f>
        <v>8.6189300411522632E-2</v>
      </c>
      <c r="J56" s="3">
        <f>IF(H56&lt;Resumen!$C$18,Resumen!$C$10*Resumen!$C$13*(1+(Resumen!$C$16-1)*H56/Resumen!$C$18),IF(AND(H56&gt;=Resumen!$C$18,H56&lt;Resumen!$C$19),Resumen!$C$16*Resumen!$C$10*Resumen!$C$13,Resumen!$C$16*Resumen!$C$10*Resumen!$C$13*(Resumen!$C$19/H56)^Resumen!$C$17))</f>
        <v>0.55850666666666671</v>
      </c>
    </row>
    <row r="57" spans="8:10" x14ac:dyDescent="0.3">
      <c r="H57" s="3">
        <v>1.1000000000000001</v>
      </c>
      <c r="I57" s="3">
        <f>J57*Resumen!$E$66/(MIN(Resumen!$I$60:$I$61)*Resumen!$E$77*Resumen!$E$78)</f>
        <v>8.4622222222222224E-2</v>
      </c>
      <c r="J57" s="3">
        <f>IF(H57&lt;Resumen!$C$18,Resumen!$C$10*Resumen!$C$13*(1+(Resumen!$C$16-1)*H57/Resumen!$C$18),IF(AND(H57&gt;=Resumen!$C$18,H57&lt;Resumen!$C$19),Resumen!$C$16*Resumen!$C$10*Resumen!$C$13,Resumen!$C$16*Resumen!$C$10*Resumen!$C$13*(Resumen!$C$19/H57)^Resumen!$C$17))</f>
        <v>0.54835200000000006</v>
      </c>
    </row>
    <row r="58" spans="8:10" x14ac:dyDescent="0.3">
      <c r="H58" s="3">
        <v>1.1200000000000001</v>
      </c>
      <c r="I58" s="3">
        <f>J58*Resumen!$E$66/(MIN(Resumen!$I$60:$I$61)*Resumen!$E$77*Resumen!$E$78)</f>
        <v>8.3111111111111108E-2</v>
      </c>
      <c r="J58" s="3">
        <f>IF(H58&lt;Resumen!$C$18,Resumen!$C$10*Resumen!$C$13*(1+(Resumen!$C$16-1)*H58/Resumen!$C$18),IF(AND(H58&gt;=Resumen!$C$18,H58&lt;Resumen!$C$19),Resumen!$C$16*Resumen!$C$10*Resumen!$C$13,Resumen!$C$16*Resumen!$C$10*Resumen!$C$13*(Resumen!$C$19/H58)^Resumen!$C$17))</f>
        <v>0.53856000000000004</v>
      </c>
    </row>
    <row r="59" spans="8:10" x14ac:dyDescent="0.3">
      <c r="H59" s="3">
        <v>1.1399999999999999</v>
      </c>
      <c r="I59" s="3">
        <f>J59*Resumen!$E$66/(MIN(Resumen!$I$60:$I$61)*Resumen!$E$77*Resumen!$E$78)</f>
        <v>8.165302144249513E-2</v>
      </c>
      <c r="J59" s="3">
        <f>IF(H59&lt;Resumen!$C$18,Resumen!$C$10*Resumen!$C$13*(1+(Resumen!$C$16-1)*H59/Resumen!$C$18),IF(AND(H59&gt;=Resumen!$C$18,H59&lt;Resumen!$C$19),Resumen!$C$16*Resumen!$C$10*Resumen!$C$13,Resumen!$C$16*Resumen!$C$10*Resumen!$C$13*(Resumen!$C$19/H59)^Resumen!$C$17))</f>
        <v>0.52911157894736849</v>
      </c>
    </row>
    <row r="60" spans="8:10" x14ac:dyDescent="0.3">
      <c r="H60" s="3">
        <v>1.1599999999999999</v>
      </c>
      <c r="I60" s="3">
        <f>J60*Resumen!$E$66/(MIN(Resumen!$I$60:$I$61)*Resumen!$E$77*Resumen!$E$78)</f>
        <v>8.0245210727969363E-2</v>
      </c>
      <c r="J60" s="3">
        <f>IF(H60&lt;Resumen!$C$18,Resumen!$C$10*Resumen!$C$13*(1+(Resumen!$C$16-1)*H60/Resumen!$C$18),IF(AND(H60&gt;=Resumen!$C$18,H60&lt;Resumen!$C$19),Resumen!$C$16*Resumen!$C$10*Resumen!$C$13,Resumen!$C$16*Resumen!$C$10*Resumen!$C$13*(Resumen!$C$19/H60)^Resumen!$C$17))</f>
        <v>0.5199889655172415</v>
      </c>
    </row>
    <row r="61" spans="8:10" x14ac:dyDescent="0.3">
      <c r="H61" s="3">
        <v>1.18</v>
      </c>
      <c r="I61" s="3">
        <f>J61*Resumen!$E$66/(MIN(Resumen!$I$60:$I$61)*Resumen!$E$77*Resumen!$E$78)</f>
        <v>7.8885122410546155E-2</v>
      </c>
      <c r="J61" s="3">
        <f>IF(H61&lt;Resumen!$C$18,Resumen!$C$10*Resumen!$C$13*(1+(Resumen!$C$16-1)*H61/Resumen!$C$18),IF(AND(H61&gt;=Resumen!$C$18,H61&lt;Resumen!$C$19),Resumen!$C$16*Resumen!$C$10*Resumen!$C$13,Resumen!$C$16*Resumen!$C$10*Resumen!$C$13*(Resumen!$C$19/H61)^Resumen!$C$17))</f>
        <v>0.51117559322033912</v>
      </c>
    </row>
    <row r="62" spans="8:10" x14ac:dyDescent="0.3">
      <c r="H62" s="3">
        <v>1.2</v>
      </c>
      <c r="I62" s="3">
        <f>J62*Resumen!$E$66/(MIN(Resumen!$I$60:$I$61)*Resumen!$E$77*Resumen!$E$78)</f>
        <v>7.7570370370370387E-2</v>
      </c>
      <c r="J62" s="3">
        <f>IF(H62&lt;Resumen!$C$18,Resumen!$C$10*Resumen!$C$13*(1+(Resumen!$C$16-1)*H62/Resumen!$C$18),IF(AND(H62&gt;=Resumen!$C$18,H62&lt;Resumen!$C$19),Resumen!$C$16*Resumen!$C$10*Resumen!$C$13,Resumen!$C$16*Resumen!$C$10*Resumen!$C$13*(Resumen!$C$19/H62)^Resumen!$C$17))</f>
        <v>0.5026560000000001</v>
      </c>
    </row>
    <row r="63" spans="8:10" x14ac:dyDescent="0.3">
      <c r="H63" s="3">
        <v>1.22</v>
      </c>
      <c r="I63" s="3">
        <f>J63*Resumen!$E$66/(MIN(Resumen!$I$60:$I$61)*Resumen!$E$77*Resumen!$E$78)</f>
        <v>7.629872495446266E-2</v>
      </c>
      <c r="J63" s="3">
        <f>IF(H63&lt;Resumen!$C$18,Resumen!$C$10*Resumen!$C$13*(1+(Resumen!$C$16-1)*H63/Resumen!$C$18),IF(AND(H63&gt;=Resumen!$C$18,H63&lt;Resumen!$C$19),Resumen!$C$16*Resumen!$C$10*Resumen!$C$13,Resumen!$C$16*Resumen!$C$10*Resumen!$C$13*(Resumen!$C$19/H63)^Resumen!$C$17))</f>
        <v>0.49441573770491809</v>
      </c>
    </row>
    <row r="64" spans="8:10" x14ac:dyDescent="0.3">
      <c r="H64" s="3">
        <v>1.24</v>
      </c>
      <c r="I64" s="3">
        <f>J64*Resumen!$E$66/(MIN(Resumen!$I$60:$I$61)*Resumen!$E$77*Resumen!$E$78)</f>
        <v>7.5068100358422957E-2</v>
      </c>
      <c r="J64" s="3">
        <f>IF(H64&lt;Resumen!$C$18,Resumen!$C$10*Resumen!$C$13*(1+(Resumen!$C$16-1)*H64/Resumen!$C$18),IF(AND(H64&gt;=Resumen!$C$18,H64&lt;Resumen!$C$19),Resumen!$C$16*Resumen!$C$10*Resumen!$C$13,Resumen!$C$16*Resumen!$C$10*Resumen!$C$13*(Resumen!$C$19/H64)^Resumen!$C$17))</f>
        <v>0.48644129032258077</v>
      </c>
    </row>
    <row r="65" spans="8:10" x14ac:dyDescent="0.3">
      <c r="H65" s="3">
        <v>1.26</v>
      </c>
      <c r="I65" s="3">
        <f>J65*Resumen!$E$66/(MIN(Resumen!$I$60:$I$61)*Resumen!$E$77*Resumen!$E$78)</f>
        <v>7.3876543209876563E-2</v>
      </c>
      <c r="J65" s="3">
        <f>IF(H65&lt;Resumen!$C$18,Resumen!$C$10*Resumen!$C$13*(1+(Resumen!$C$16-1)*H65/Resumen!$C$18),IF(AND(H65&gt;=Resumen!$C$18,H65&lt;Resumen!$C$19),Resumen!$C$16*Resumen!$C$10*Resumen!$C$13,Resumen!$C$16*Resumen!$C$10*Resumen!$C$13*(Resumen!$C$19/H65)^Resumen!$C$17))</f>
        <v>0.47872000000000015</v>
      </c>
    </row>
    <row r="66" spans="8:10" x14ac:dyDescent="0.3">
      <c r="H66" s="3">
        <v>1.28</v>
      </c>
      <c r="I66" s="3">
        <f>J66*Resumen!$E$66/(MIN(Resumen!$I$60:$I$61)*Resumen!$E$77*Resumen!$E$78)</f>
        <v>7.272222222222223E-2</v>
      </c>
      <c r="J66" s="3">
        <f>IF(H66&lt;Resumen!$C$18,Resumen!$C$10*Resumen!$C$13*(1+(Resumen!$C$16-1)*H66/Resumen!$C$18),IF(AND(H66&gt;=Resumen!$C$18,H66&lt;Resumen!$C$19),Resumen!$C$16*Resumen!$C$10*Resumen!$C$13,Resumen!$C$16*Resumen!$C$10*Resumen!$C$13*(Resumen!$C$19/H66)^Resumen!$C$17))</f>
        <v>0.47124000000000005</v>
      </c>
    </row>
    <row r="67" spans="8:10" x14ac:dyDescent="0.3">
      <c r="H67" s="3">
        <v>1.3</v>
      </c>
      <c r="I67" s="3">
        <f>J67*Resumen!$E$66/(MIN(Resumen!$I$60:$I$61)*Resumen!$E$77*Resumen!$E$78)</f>
        <v>7.160341880341882E-2</v>
      </c>
      <c r="J67" s="3">
        <f>IF(H67&lt;Resumen!$C$18,Resumen!$C$10*Resumen!$C$13*(1+(Resumen!$C$16-1)*H67/Resumen!$C$18),IF(AND(H67&gt;=Resumen!$C$18,H67&lt;Resumen!$C$19),Resumen!$C$16*Resumen!$C$10*Resumen!$C$13,Resumen!$C$16*Resumen!$C$10*Resumen!$C$13*(Resumen!$C$19/H67)^Resumen!$C$17))</f>
        <v>0.46399015384615394</v>
      </c>
    </row>
    <row r="68" spans="8:10" x14ac:dyDescent="0.3">
      <c r="H68" s="3">
        <v>1.32</v>
      </c>
      <c r="I68" s="3">
        <f>J68*Resumen!$E$66/(MIN(Resumen!$I$60:$I$61)*Resumen!$E$77*Resumen!$E$78)</f>
        <v>7.0518518518518522E-2</v>
      </c>
      <c r="J68" s="3">
        <f>IF(H68&lt;Resumen!$C$18,Resumen!$C$10*Resumen!$C$13*(1+(Resumen!$C$16-1)*H68/Resumen!$C$18),IF(AND(H68&gt;=Resumen!$C$18,H68&lt;Resumen!$C$19),Resumen!$C$16*Resumen!$C$10*Resumen!$C$13,Resumen!$C$16*Resumen!$C$10*Resumen!$C$13*(Resumen!$C$19/H68)^Resumen!$C$17))</f>
        <v>0.45696000000000003</v>
      </c>
    </row>
    <row r="69" spans="8:10" x14ac:dyDescent="0.3">
      <c r="H69" s="3">
        <v>1.34</v>
      </c>
      <c r="I69" s="3">
        <f>J69*Resumen!$E$66/(MIN(Resumen!$I$60:$I$61)*Resumen!$E$77*Resumen!$E$78)</f>
        <v>6.9466003316749583E-2</v>
      </c>
      <c r="J69" s="3">
        <f>IF(H69&lt;Resumen!$C$18,Resumen!$C$10*Resumen!$C$13*(1+(Resumen!$C$16-1)*H69/Resumen!$C$18),IF(AND(H69&gt;=Resumen!$C$18,H69&lt;Resumen!$C$19),Resumen!$C$16*Resumen!$C$10*Resumen!$C$13,Resumen!$C$16*Resumen!$C$10*Resumen!$C$13*(Resumen!$C$19/H69)^Resumen!$C$17))</f>
        <v>0.45013970149253735</v>
      </c>
    </row>
    <row r="70" spans="8:10" x14ac:dyDescent="0.3">
      <c r="H70" s="3">
        <v>1.36</v>
      </c>
      <c r="I70" s="3">
        <f>J70*Resumen!$E$66/(MIN(Resumen!$I$60:$I$61)*Resumen!$E$77*Resumen!$E$78)</f>
        <v>6.8444444444444447E-2</v>
      </c>
      <c r="J70" s="3">
        <f>IF(H70&lt;Resumen!$C$18,Resumen!$C$10*Resumen!$C$13*(1+(Resumen!$C$16-1)*H70/Resumen!$C$18),IF(AND(H70&gt;=Resumen!$C$18,H70&lt;Resumen!$C$19),Resumen!$C$16*Resumen!$C$10*Resumen!$C$13,Resumen!$C$16*Resumen!$C$10*Resumen!$C$13*(Resumen!$C$19/H70)^Resumen!$C$17))</f>
        <v>0.44352000000000003</v>
      </c>
    </row>
    <row r="71" spans="8:10" x14ac:dyDescent="0.3">
      <c r="H71" s="3">
        <v>1.38</v>
      </c>
      <c r="I71" s="3">
        <f>J71*Resumen!$E$66/(MIN(Resumen!$I$60:$I$61)*Resumen!$E$77*Resumen!$E$78)</f>
        <v>6.745249597423511E-2</v>
      </c>
      <c r="J71" s="3">
        <f>IF(H71&lt;Resumen!$C$18,Resumen!$C$10*Resumen!$C$13*(1+(Resumen!$C$16-1)*H71/Resumen!$C$18),IF(AND(H71&gt;=Resumen!$C$18,H71&lt;Resumen!$C$19),Resumen!$C$16*Resumen!$C$10*Resumen!$C$13,Resumen!$C$16*Resumen!$C$10*Resumen!$C$13*(Resumen!$C$19/H71)^Resumen!$C$17))</f>
        <v>0.43709217391304356</v>
      </c>
    </row>
    <row r="72" spans="8:10" x14ac:dyDescent="0.3">
      <c r="H72" s="3">
        <v>1.4</v>
      </c>
      <c r="I72" s="3">
        <f>J72*Resumen!$E$66/(MIN(Resumen!$I$60:$I$61)*Resumen!$E$77*Resumen!$E$78)</f>
        <v>6.6488888888888903E-2</v>
      </c>
      <c r="J72" s="3">
        <f>IF(H72&lt;Resumen!$C$18,Resumen!$C$10*Resumen!$C$13*(1+(Resumen!$C$16-1)*H72/Resumen!$C$18),IF(AND(H72&gt;=Resumen!$C$18,H72&lt;Resumen!$C$19),Resumen!$C$16*Resumen!$C$10*Resumen!$C$13,Resumen!$C$16*Resumen!$C$10*Resumen!$C$13*(Resumen!$C$19/H72)^Resumen!$C$17))</f>
        <v>0.43084800000000012</v>
      </c>
    </row>
    <row r="73" spans="8:10" x14ac:dyDescent="0.3">
      <c r="H73" s="3">
        <v>1.42</v>
      </c>
      <c r="I73" s="3">
        <f>J73*Resumen!$E$66/(MIN(Resumen!$I$60:$I$61)*Resumen!$E$77*Resumen!$E$78)</f>
        <v>6.5552425665101735E-2</v>
      </c>
      <c r="J73" s="3">
        <f>IF(H73&lt;Resumen!$C$18,Resumen!$C$10*Resumen!$C$13*(1+(Resumen!$C$16-1)*H73/Resumen!$C$18),IF(AND(H73&gt;=Resumen!$C$18,H73&lt;Resumen!$C$19),Resumen!$C$16*Resumen!$C$10*Resumen!$C$13,Resumen!$C$16*Resumen!$C$10*Resumen!$C$13*(Resumen!$C$19/H73)^Resumen!$C$17))</f>
        <v>0.42477971830985928</v>
      </c>
    </row>
    <row r="74" spans="8:10" x14ac:dyDescent="0.3">
      <c r="H74" s="3">
        <v>1.44</v>
      </c>
      <c r="I74" s="3">
        <f>J74*Resumen!$E$66/(MIN(Resumen!$I$60:$I$61)*Resumen!$E$77*Resumen!$E$78)</f>
        <v>6.4641975308641977E-2</v>
      </c>
      <c r="J74" s="3">
        <f>IF(H74&lt;Resumen!$C$18,Resumen!$C$10*Resumen!$C$13*(1+(Resumen!$C$16-1)*H74/Resumen!$C$18),IF(AND(H74&gt;=Resumen!$C$18,H74&lt;Resumen!$C$19),Resumen!$C$16*Resumen!$C$10*Resumen!$C$13,Resumen!$C$16*Resumen!$C$10*Resumen!$C$13*(Resumen!$C$19/H74)^Resumen!$C$17))</f>
        <v>0.41888000000000009</v>
      </c>
    </row>
    <row r="75" spans="8:10" x14ac:dyDescent="0.3">
      <c r="H75" s="3">
        <v>1.46</v>
      </c>
      <c r="I75" s="3">
        <f>J75*Resumen!$E$66/(MIN(Resumen!$I$60:$I$61)*Resumen!$E$77*Resumen!$E$78)</f>
        <v>6.3756468797564692E-2</v>
      </c>
      <c r="J75" s="3">
        <f>IF(H75&lt;Resumen!$C$18,Resumen!$C$10*Resumen!$C$13*(1+(Resumen!$C$16-1)*H75/Resumen!$C$18),IF(AND(H75&gt;=Resumen!$C$18,H75&lt;Resumen!$C$19),Resumen!$C$16*Resumen!$C$10*Resumen!$C$13,Resumen!$C$16*Resumen!$C$10*Resumen!$C$13*(Resumen!$C$19/H75)^Resumen!$C$17))</f>
        <v>0.41314191780821924</v>
      </c>
    </row>
    <row r="76" spans="8:10" x14ac:dyDescent="0.3">
      <c r="H76" s="3">
        <v>1.48</v>
      </c>
      <c r="I76" s="3">
        <f>J76*Resumen!$E$66/(MIN(Resumen!$I$60:$I$61)*Resumen!$E$77*Resumen!$E$78)</f>
        <v>6.2894894894894915E-2</v>
      </c>
      <c r="J76" s="3">
        <f>IF(H76&lt;Resumen!$C$18,Resumen!$C$10*Resumen!$C$13*(1+(Resumen!$C$16-1)*H76/Resumen!$C$18),IF(AND(H76&gt;=Resumen!$C$18,H76&lt;Resumen!$C$19),Resumen!$C$16*Resumen!$C$10*Resumen!$C$13,Resumen!$C$16*Resumen!$C$10*Resumen!$C$13*(Resumen!$C$19/H76)^Resumen!$C$17))</f>
        <v>0.40755891891891904</v>
      </c>
    </row>
    <row r="77" spans="8:10" x14ac:dyDescent="0.3">
      <c r="H77" s="3">
        <v>1.5</v>
      </c>
      <c r="I77" s="3">
        <f>J77*Resumen!$E$66/(MIN(Resumen!$I$60:$I$61)*Resumen!$E$77*Resumen!$E$78)</f>
        <v>6.2056296296296304E-2</v>
      </c>
      <c r="J77" s="3">
        <f>IF(H77&lt;Resumen!$C$18,Resumen!$C$10*Resumen!$C$13*(1+(Resumen!$C$16-1)*H77/Resumen!$C$18),IF(AND(H77&gt;=Resumen!$C$18,H77&lt;Resumen!$C$19),Resumen!$C$16*Resumen!$C$10*Resumen!$C$13,Resumen!$C$16*Resumen!$C$10*Resumen!$C$13*(Resumen!$C$19/H77)^Resumen!$C$17))</f>
        <v>0.40212480000000006</v>
      </c>
    </row>
    <row r="78" spans="8:10" x14ac:dyDescent="0.3">
      <c r="H78" s="3">
        <v>1.52</v>
      </c>
      <c r="I78" s="3">
        <f>J78*Resumen!$E$66/(MIN(Resumen!$I$60:$I$61)*Resumen!$E$77*Resumen!$E$78)</f>
        <v>6.1239766081871351E-2</v>
      </c>
      <c r="J78" s="3">
        <f>IF(H78&lt;Resumen!$C$18,Resumen!$C$10*Resumen!$C$13*(1+(Resumen!$C$16-1)*H78/Resumen!$C$18),IF(AND(H78&gt;=Resumen!$C$18,H78&lt;Resumen!$C$19),Resumen!$C$16*Resumen!$C$10*Resumen!$C$13,Resumen!$C$16*Resumen!$C$10*Resumen!$C$13*(Resumen!$C$19/H78)^Resumen!$C$17))</f>
        <v>0.39683368421052639</v>
      </c>
    </row>
    <row r="79" spans="8:10" x14ac:dyDescent="0.3">
      <c r="H79" s="3">
        <v>1.54</v>
      </c>
      <c r="I79" s="3">
        <f>J79*Resumen!$E$66/(MIN(Resumen!$I$60:$I$61)*Resumen!$E$77*Resumen!$E$78)</f>
        <v>6.0444444444444453E-2</v>
      </c>
      <c r="J79" s="3">
        <f>IF(H79&lt;Resumen!$C$18,Resumen!$C$10*Resumen!$C$13*(1+(Resumen!$C$16-1)*H79/Resumen!$C$18),IF(AND(H79&gt;=Resumen!$C$18,H79&lt;Resumen!$C$19),Resumen!$C$16*Resumen!$C$10*Resumen!$C$13,Resumen!$C$16*Resumen!$C$10*Resumen!$C$13*(Resumen!$C$19/H79)^Resumen!$C$17))</f>
        <v>0.39168000000000008</v>
      </c>
    </row>
    <row r="80" spans="8:10" x14ac:dyDescent="0.3">
      <c r="H80" s="3">
        <v>1.56</v>
      </c>
      <c r="I80" s="3">
        <f>J80*Resumen!$E$66/(MIN(Resumen!$I$60:$I$61)*Resumen!$E$77*Resumen!$E$78)</f>
        <v>5.9669515669515678E-2</v>
      </c>
      <c r="J80" s="3">
        <f>IF(H80&lt;Resumen!$C$18,Resumen!$C$10*Resumen!$C$13*(1+(Resumen!$C$16-1)*H80/Resumen!$C$18),IF(AND(H80&gt;=Resumen!$C$18,H80&lt;Resumen!$C$19),Resumen!$C$16*Resumen!$C$10*Resumen!$C$13,Resumen!$C$16*Resumen!$C$10*Resumen!$C$13*(Resumen!$C$19/H80)^Resumen!$C$17))</f>
        <v>0.38665846153846162</v>
      </c>
    </row>
    <row r="81" spans="8:10" x14ac:dyDescent="0.3">
      <c r="H81" s="3">
        <v>1.58</v>
      </c>
      <c r="I81" s="3">
        <f>J81*Resumen!$E$66/(MIN(Resumen!$I$60:$I$61)*Resumen!$E$77*Resumen!$E$78)</f>
        <v>5.8914205344585094E-2</v>
      </c>
      <c r="J81" s="3">
        <f>IF(H81&lt;Resumen!$C$18,Resumen!$C$10*Resumen!$C$13*(1+(Resumen!$C$16-1)*H81/Resumen!$C$18),IF(AND(H81&gt;=Resumen!$C$18,H81&lt;Resumen!$C$19),Resumen!$C$16*Resumen!$C$10*Resumen!$C$13,Resumen!$C$16*Resumen!$C$10*Resumen!$C$13*(Resumen!$C$19/H81)^Resumen!$C$17))</f>
        <v>0.38176405063291141</v>
      </c>
    </row>
    <row r="82" spans="8:10" x14ac:dyDescent="0.3">
      <c r="H82" s="3">
        <v>1.6</v>
      </c>
      <c r="I82" s="3">
        <f>J82*Resumen!$E$66/(MIN(Resumen!$I$60:$I$61)*Resumen!$E$77*Resumen!$E$78)</f>
        <v>5.817777777777778E-2</v>
      </c>
      <c r="J82" s="3">
        <f>IF(H82&lt;Resumen!$C$18,Resumen!$C$10*Resumen!$C$13*(1+(Resumen!$C$16-1)*H82/Resumen!$C$18),IF(AND(H82&gt;=Resumen!$C$18,H82&lt;Resumen!$C$19),Resumen!$C$16*Resumen!$C$10*Resumen!$C$13,Resumen!$C$16*Resumen!$C$10*Resumen!$C$13*(Resumen!$C$19/H82)^Resumen!$C$17))</f>
        <v>0.37699200000000005</v>
      </c>
    </row>
    <row r="83" spans="8:10" x14ac:dyDescent="0.3">
      <c r="H83" s="3">
        <v>1.62</v>
      </c>
      <c r="I83" s="3">
        <f>J83*Resumen!$E$66/(MIN(Resumen!$I$60:$I$61)*Resumen!$E$77*Resumen!$E$78)</f>
        <v>5.7459533607681759E-2</v>
      </c>
      <c r="J83" s="3">
        <f>IF(H83&lt;Resumen!$C$18,Resumen!$C$10*Resumen!$C$13*(1+(Resumen!$C$16-1)*H83/Resumen!$C$18),IF(AND(H83&gt;=Resumen!$C$18,H83&lt;Resumen!$C$19),Resumen!$C$16*Resumen!$C$10*Resumen!$C$13,Resumen!$C$16*Resumen!$C$10*Resumen!$C$13*(Resumen!$C$19/H83)^Resumen!$C$17))</f>
        <v>0.37233777777777782</v>
      </c>
    </row>
    <row r="84" spans="8:10" x14ac:dyDescent="0.3">
      <c r="H84" s="3">
        <v>1.64</v>
      </c>
      <c r="I84" s="3">
        <f>J84*Resumen!$E$66/(MIN(Resumen!$I$60:$I$61)*Resumen!$E$77*Resumen!$E$78)</f>
        <v>5.6758807588075902E-2</v>
      </c>
      <c r="J84" s="3">
        <f>IF(H84&lt;Resumen!$C$18,Resumen!$C$10*Resumen!$C$13*(1+(Resumen!$C$16-1)*H84/Resumen!$C$18),IF(AND(H84&gt;=Resumen!$C$18,H84&lt;Resumen!$C$19),Resumen!$C$16*Resumen!$C$10*Resumen!$C$13,Resumen!$C$16*Resumen!$C$10*Resumen!$C$13*(Resumen!$C$19/H84)^Resumen!$C$17))</f>
        <v>0.36779707317073185</v>
      </c>
    </row>
    <row r="85" spans="8:10" x14ac:dyDescent="0.3">
      <c r="H85" s="3">
        <v>1.66</v>
      </c>
      <c r="I85" s="3">
        <f>J85*Resumen!$E$66/(MIN(Resumen!$I$60:$I$61)*Resumen!$E$77*Resumen!$E$78)</f>
        <v>5.6074966532797865E-2</v>
      </c>
      <c r="J85" s="3">
        <f>IF(H85&lt;Resumen!$C$18,Resumen!$C$10*Resumen!$C$13*(1+(Resumen!$C$16-1)*H85/Resumen!$C$18),IF(AND(H85&gt;=Resumen!$C$18,H85&lt;Resumen!$C$19),Resumen!$C$16*Resumen!$C$10*Resumen!$C$13,Resumen!$C$16*Resumen!$C$10*Resumen!$C$13*(Resumen!$C$19/H85)^Resumen!$C$17))</f>
        <v>0.36336578313253021</v>
      </c>
    </row>
    <row r="86" spans="8:10" x14ac:dyDescent="0.3">
      <c r="H86" s="3">
        <v>1.68</v>
      </c>
      <c r="I86" s="3">
        <f>J86*Resumen!$E$66/(MIN(Resumen!$I$60:$I$61)*Resumen!$E$77*Resumen!$E$78)</f>
        <v>5.5407407407407419E-2</v>
      </c>
      <c r="J86" s="3">
        <f>IF(H86&lt;Resumen!$C$18,Resumen!$C$10*Resumen!$C$13*(1+(Resumen!$C$16-1)*H86/Resumen!$C$18),IF(AND(H86&gt;=Resumen!$C$18,H86&lt;Resumen!$C$19),Resumen!$C$16*Resumen!$C$10*Resumen!$C$13,Resumen!$C$16*Resumen!$C$10*Resumen!$C$13*(Resumen!$C$19/H86)^Resumen!$C$17))</f>
        <v>0.35904000000000008</v>
      </c>
    </row>
    <row r="87" spans="8:10" x14ac:dyDescent="0.3">
      <c r="H87" s="3">
        <v>1.7</v>
      </c>
      <c r="I87" s="3">
        <f>J87*Resumen!$E$66/(MIN(Resumen!$I$60:$I$61)*Resumen!$E$77*Resumen!$E$78)</f>
        <v>5.4755555555555564E-2</v>
      </c>
      <c r="J87" s="3">
        <f>IF(H87&lt;Resumen!$C$18,Resumen!$C$10*Resumen!$C$13*(1+(Resumen!$C$16-1)*H87/Resumen!$C$18),IF(AND(H87&gt;=Resumen!$C$18,H87&lt;Resumen!$C$19),Resumen!$C$16*Resumen!$C$10*Resumen!$C$13,Resumen!$C$16*Resumen!$C$10*Resumen!$C$13*(Resumen!$C$19/H87)^Resumen!$C$17))</f>
        <v>0.35481600000000008</v>
      </c>
    </row>
    <row r="88" spans="8:10" x14ac:dyDescent="0.3">
      <c r="H88" s="3">
        <v>1.72</v>
      </c>
      <c r="I88" s="3">
        <f>J88*Resumen!$E$66/(MIN(Resumen!$I$60:$I$61)*Resumen!$E$77*Resumen!$E$78)</f>
        <v>5.4118863049095613E-2</v>
      </c>
      <c r="J88" s="3">
        <f>IF(H88&lt;Resumen!$C$18,Resumen!$C$10*Resumen!$C$13*(1+(Resumen!$C$16-1)*H88/Resumen!$C$18),IF(AND(H88&gt;=Resumen!$C$18,H88&lt;Resumen!$C$19),Resumen!$C$16*Resumen!$C$10*Resumen!$C$13,Resumen!$C$16*Resumen!$C$10*Resumen!$C$13*(Resumen!$C$19/H88)^Resumen!$C$17))</f>
        <v>0.35069023255813958</v>
      </c>
    </row>
    <row r="89" spans="8:10" x14ac:dyDescent="0.3">
      <c r="H89" s="3">
        <v>1.74</v>
      </c>
      <c r="I89" s="3">
        <f>J89*Resumen!$E$66/(MIN(Resumen!$I$60:$I$61)*Resumen!$E$77*Resumen!$E$78)</f>
        <v>5.3496807151979575E-2</v>
      </c>
      <c r="J89" s="3">
        <f>IF(H89&lt;Resumen!$C$18,Resumen!$C$10*Resumen!$C$13*(1+(Resumen!$C$16-1)*H89/Resumen!$C$18),IF(AND(H89&gt;=Resumen!$C$18,H89&lt;Resumen!$C$19),Resumen!$C$16*Resumen!$C$10*Resumen!$C$13,Resumen!$C$16*Resumen!$C$10*Resumen!$C$13*(Resumen!$C$19/H89)^Resumen!$C$17))</f>
        <v>0.34665931034482766</v>
      </c>
    </row>
    <row r="90" spans="8:10" x14ac:dyDescent="0.3">
      <c r="H90" s="3">
        <v>1.76</v>
      </c>
      <c r="I90" s="3">
        <f>J90*Resumen!$E$66/(MIN(Resumen!$I$60:$I$61)*Resumen!$E$77*Resumen!$E$78)</f>
        <v>5.2888888888888888E-2</v>
      </c>
      <c r="J90" s="3">
        <f>IF(H90&lt;Resumen!$C$18,Resumen!$C$10*Resumen!$C$13*(1+(Resumen!$C$16-1)*H90/Resumen!$C$18),IF(AND(H90&gt;=Resumen!$C$18,H90&lt;Resumen!$C$19),Resumen!$C$16*Resumen!$C$10*Resumen!$C$13,Resumen!$C$16*Resumen!$C$10*Resumen!$C$13*(Resumen!$C$19/H90)^Resumen!$C$17))</f>
        <v>0.34272000000000002</v>
      </c>
    </row>
    <row r="91" spans="8:10" x14ac:dyDescent="0.3">
      <c r="H91" s="3">
        <v>1.78</v>
      </c>
      <c r="I91" s="3">
        <f>J91*Resumen!$E$66/(MIN(Resumen!$I$60:$I$61)*Resumen!$E$77*Resumen!$E$78)</f>
        <v>5.2294631710362055E-2</v>
      </c>
      <c r="J91" s="3">
        <f>IF(H91&lt;Resumen!$C$18,Resumen!$C$10*Resumen!$C$13*(1+(Resumen!$C$16-1)*H91/Resumen!$C$18),IF(AND(H91&gt;=Resumen!$C$18,H91&lt;Resumen!$C$19),Resumen!$C$16*Resumen!$C$10*Resumen!$C$13,Resumen!$C$16*Resumen!$C$10*Resumen!$C$13*(Resumen!$C$19/H91)^Resumen!$C$17))</f>
        <v>0.33886921348314614</v>
      </c>
    </row>
    <row r="92" spans="8:10" x14ac:dyDescent="0.3">
      <c r="H92" s="3">
        <v>1.8</v>
      </c>
      <c r="I92" s="3">
        <f>J92*Resumen!$E$66/(MIN(Resumen!$I$60:$I$61)*Resumen!$E$77*Resumen!$E$78)</f>
        <v>5.1713580246913589E-2</v>
      </c>
      <c r="J92" s="3">
        <f>IF(H92&lt;Resumen!$C$18,Resumen!$C$10*Resumen!$C$13*(1+(Resumen!$C$16-1)*H92/Resumen!$C$18),IF(AND(H92&gt;=Resumen!$C$18,H92&lt;Resumen!$C$19),Resumen!$C$16*Resumen!$C$10*Resumen!$C$13,Resumen!$C$16*Resumen!$C$10*Resumen!$C$13*(Resumen!$C$19/H92)^Resumen!$C$17))</f>
        <v>0.33510400000000007</v>
      </c>
    </row>
    <row r="93" spans="8:10" x14ac:dyDescent="0.3">
      <c r="H93" s="3">
        <v>1.82</v>
      </c>
      <c r="I93" s="3">
        <f>J93*Resumen!$E$66/(MIN(Resumen!$I$60:$I$61)*Resumen!$E$77*Resumen!$E$78)</f>
        <v>5.1145299145299153E-2</v>
      </c>
      <c r="J93" s="3">
        <f>IF(H93&lt;Resumen!$C$18,Resumen!$C$10*Resumen!$C$13*(1+(Resumen!$C$16-1)*H93/Resumen!$C$18),IF(AND(H93&gt;=Resumen!$C$18,H93&lt;Resumen!$C$19),Resumen!$C$16*Resumen!$C$10*Resumen!$C$13,Resumen!$C$16*Resumen!$C$10*Resumen!$C$13*(Resumen!$C$19/H93)^Resumen!$C$17))</f>
        <v>0.33142153846153855</v>
      </c>
    </row>
    <row r="94" spans="8:10" x14ac:dyDescent="0.3">
      <c r="H94" s="3">
        <v>1.84</v>
      </c>
      <c r="I94" s="3">
        <f>J94*Resumen!$E$66/(MIN(Resumen!$I$60:$I$61)*Resumen!$E$77*Resumen!$E$78)</f>
        <v>5.0589371980676333E-2</v>
      </c>
      <c r="J94" s="3">
        <f>IF(H94&lt;Resumen!$C$18,Resumen!$C$10*Resumen!$C$13*(1+(Resumen!$C$16-1)*H94/Resumen!$C$18),IF(AND(H94&gt;=Resumen!$C$18,H94&lt;Resumen!$C$19),Resumen!$C$16*Resumen!$C$10*Resumen!$C$13,Resumen!$C$16*Resumen!$C$10*Resumen!$C$13*(Resumen!$C$19/H94)^Resumen!$C$17))</f>
        <v>0.32781913043478267</v>
      </c>
    </row>
    <row r="95" spans="8:10" x14ac:dyDescent="0.3">
      <c r="H95" s="3">
        <v>1.86</v>
      </c>
      <c r="I95" s="3">
        <f>J95*Resumen!$E$66/(MIN(Resumen!$I$60:$I$61)*Resumen!$E$77*Resumen!$E$78)</f>
        <v>5.0045400238948629E-2</v>
      </c>
      <c r="J95" s="3">
        <f>IF(H95&lt;Resumen!$C$18,Resumen!$C$10*Resumen!$C$13*(1+(Resumen!$C$16-1)*H95/Resumen!$C$18),IF(AND(H95&gt;=Resumen!$C$18,H95&lt;Resumen!$C$19),Resumen!$C$16*Resumen!$C$10*Resumen!$C$13,Resumen!$C$16*Resumen!$C$10*Resumen!$C$13*(Resumen!$C$19/H95)^Resumen!$C$17))</f>
        <v>0.32429419354838712</v>
      </c>
    </row>
    <row r="96" spans="8:10" x14ac:dyDescent="0.3">
      <c r="H96" s="3">
        <v>1.88</v>
      </c>
      <c r="I96" s="3">
        <f>J96*Resumen!$E$66/(MIN(Resumen!$I$60:$I$61)*Resumen!$E$77*Resumen!$E$78)</f>
        <v>4.9513002364066201E-2</v>
      </c>
      <c r="J96" s="3">
        <f>IF(H96&lt;Resumen!$C$18,Resumen!$C$10*Resumen!$C$13*(1+(Resumen!$C$16-1)*H96/Resumen!$C$18),IF(AND(H96&gt;=Resumen!$C$18,H96&lt;Resumen!$C$19),Resumen!$C$16*Resumen!$C$10*Resumen!$C$13,Resumen!$C$16*Resumen!$C$10*Resumen!$C$13*(Resumen!$C$19/H96)^Resumen!$C$17))</f>
        <v>0.32084425531914901</v>
      </c>
    </row>
    <row r="97" spans="8:10" x14ac:dyDescent="0.3">
      <c r="H97" s="3">
        <v>1.9</v>
      </c>
      <c r="I97" s="3">
        <f>J97*Resumen!$E$66/(MIN(Resumen!$I$60:$I$61)*Resumen!$E$77*Resumen!$E$78)</f>
        <v>4.8991812865497086E-2</v>
      </c>
      <c r="J97" s="3">
        <f>IF(H97&lt;Resumen!$C$18,Resumen!$C$10*Resumen!$C$13*(1+(Resumen!$C$16-1)*H97/Resumen!$C$18),IF(AND(H97&gt;=Resumen!$C$18,H97&lt;Resumen!$C$19),Resumen!$C$16*Resumen!$C$10*Resumen!$C$13,Resumen!$C$16*Resumen!$C$10*Resumen!$C$13*(Resumen!$C$19/H97)^Resumen!$C$17))</f>
        <v>0.31746694736842113</v>
      </c>
    </row>
    <row r="98" spans="8:10" x14ac:dyDescent="0.3">
      <c r="H98" s="3">
        <v>1.92</v>
      </c>
      <c r="I98" s="3">
        <f>J98*Resumen!$E$66/(MIN(Resumen!$I$60:$I$61)*Resumen!$E$77*Resumen!$E$78)</f>
        <v>4.8481481481481493E-2</v>
      </c>
      <c r="J98" s="3">
        <f>IF(H98&lt;Resumen!$C$18,Resumen!$C$10*Resumen!$C$13*(1+(Resumen!$C$16-1)*H98/Resumen!$C$18),IF(AND(H98&gt;=Resumen!$C$18,H98&lt;Resumen!$C$19),Resumen!$C$16*Resumen!$C$10*Resumen!$C$13,Resumen!$C$16*Resumen!$C$10*Resumen!$C$13*(Resumen!$C$19/H98)^Resumen!$C$17))</f>
        <v>0.31416000000000011</v>
      </c>
    </row>
    <row r="99" spans="8:10" x14ac:dyDescent="0.3">
      <c r="H99" s="3">
        <v>1.94</v>
      </c>
      <c r="I99" s="3">
        <f>J99*Resumen!$E$66/(MIN(Resumen!$I$60:$I$61)*Resumen!$E$77*Resumen!$E$78)</f>
        <v>4.7981672394043537E-2</v>
      </c>
      <c r="J99" s="3">
        <f>IF(H99&lt;Resumen!$C$18,Resumen!$C$10*Resumen!$C$13*(1+(Resumen!$C$16-1)*H99/Resumen!$C$18),IF(AND(H99&gt;=Resumen!$C$18,H99&lt;Resumen!$C$19),Resumen!$C$16*Resumen!$C$10*Resumen!$C$13,Resumen!$C$16*Resumen!$C$10*Resumen!$C$13*(Resumen!$C$19/H99)^Resumen!$C$17))</f>
        <v>0.31092123711340214</v>
      </c>
    </row>
    <row r="100" spans="8:10" x14ac:dyDescent="0.3">
      <c r="H100" s="3">
        <v>1.96</v>
      </c>
      <c r="I100" s="3">
        <f>J100*Resumen!$E$66/(MIN(Resumen!$I$60:$I$61)*Resumen!$E$77*Resumen!$E$78)</f>
        <v>4.7492063492063495E-2</v>
      </c>
      <c r="J100" s="3">
        <f>IF(H100&lt;Resumen!$C$18,Resumen!$C$10*Resumen!$C$13*(1+(Resumen!$C$16-1)*H100/Resumen!$C$18),IF(AND(H100&gt;=Resumen!$C$18,H100&lt;Resumen!$C$19),Resumen!$C$16*Resumen!$C$10*Resumen!$C$13,Resumen!$C$16*Resumen!$C$10*Resumen!$C$13*(Resumen!$C$19/H100)^Resumen!$C$17))</f>
        <v>0.30774857142857148</v>
      </c>
    </row>
    <row r="101" spans="8:10" x14ac:dyDescent="0.3">
      <c r="H101" s="3">
        <v>1.98</v>
      </c>
      <c r="I101" s="3">
        <f>J101*Resumen!$E$66/(MIN(Resumen!$I$60:$I$61)*Resumen!$E$77*Resumen!$E$78)</f>
        <v>4.7012345679012357E-2</v>
      </c>
      <c r="J101" s="3">
        <f>IF(H101&lt;Resumen!$C$18,Resumen!$C$10*Resumen!$C$13*(1+(Resumen!$C$16-1)*H101/Resumen!$C$18),IF(AND(H101&gt;=Resumen!$C$18,H101&lt;Resumen!$C$19),Resumen!$C$16*Resumen!$C$10*Resumen!$C$13,Resumen!$C$16*Resumen!$C$10*Resumen!$C$13*(Resumen!$C$19/H101)^Resumen!$C$17))</f>
        <v>0.30464000000000008</v>
      </c>
    </row>
    <row r="102" spans="8:10" x14ac:dyDescent="0.3">
      <c r="H102" s="3">
        <v>2</v>
      </c>
      <c r="I102" s="3">
        <f>J102*Resumen!$E$66/(MIN(Resumen!$I$60:$I$61)*Resumen!$E$77*Resumen!$E$78)</f>
        <v>4.6542222222222228E-2</v>
      </c>
      <c r="J102" s="3">
        <f>IF(H102&lt;Resumen!$C$18,Resumen!$C$10*Resumen!$C$13*(1+(Resumen!$C$16-1)*H102/Resumen!$C$18),IF(AND(H102&gt;=Resumen!$C$18,H102&lt;Resumen!$C$19),Resumen!$C$16*Resumen!$C$10*Resumen!$C$13,Resumen!$C$16*Resumen!$C$10*Resumen!$C$13*(Resumen!$C$19/H102)^Resumen!$C$17))</f>
        <v>0.30159360000000007</v>
      </c>
    </row>
    <row r="103" spans="8:10" x14ac:dyDescent="0.3">
      <c r="H103" s="3">
        <v>2.02</v>
      </c>
      <c r="I103" s="3">
        <f>J103*Resumen!$E$66/(MIN(Resumen!$I$60:$I$61)*Resumen!$E$77*Resumen!$E$78)</f>
        <v>4.6081408140814087E-2</v>
      </c>
      <c r="J103" s="3">
        <f>IF(H103&lt;Resumen!$C$18,Resumen!$C$10*Resumen!$C$13*(1+(Resumen!$C$16-1)*H103/Resumen!$C$18),IF(AND(H103&gt;=Resumen!$C$18,H103&lt;Resumen!$C$19),Resumen!$C$16*Resumen!$C$10*Resumen!$C$13,Resumen!$C$16*Resumen!$C$10*Resumen!$C$13*(Resumen!$C$19/H103)^Resumen!$C$17))</f>
        <v>0.29860752475247532</v>
      </c>
    </row>
    <row r="104" spans="8:10" x14ac:dyDescent="0.3">
      <c r="H104" s="3">
        <v>2.04</v>
      </c>
      <c r="I104" s="3">
        <f>J104*Resumen!$E$66/(MIN(Resumen!$I$60:$I$61)*Resumen!$E$77*Resumen!$E$78)</f>
        <v>4.5629629629629638E-2</v>
      </c>
      <c r="J104" s="3">
        <f>IF(H104&lt;Resumen!$C$18,Resumen!$C$10*Resumen!$C$13*(1+(Resumen!$C$16-1)*H104/Resumen!$C$18),IF(AND(H104&gt;=Resumen!$C$18,H104&lt;Resumen!$C$19),Resumen!$C$16*Resumen!$C$10*Resumen!$C$13,Resumen!$C$16*Resumen!$C$10*Resumen!$C$13*(Resumen!$C$19/H104)^Resumen!$C$17))</f>
        <v>0.29568000000000005</v>
      </c>
    </row>
    <row r="105" spans="8:10" x14ac:dyDescent="0.3">
      <c r="H105" s="3">
        <v>2.06</v>
      </c>
      <c r="I105" s="3">
        <f>J105*Resumen!$E$66/(MIN(Resumen!$I$60:$I$61)*Resumen!$E$77*Resumen!$E$78)</f>
        <v>4.5186623516720606E-2</v>
      </c>
      <c r="J105" s="3">
        <f>IF(H105&lt;Resumen!$C$18,Resumen!$C$10*Resumen!$C$13*(1+(Resumen!$C$16-1)*H105/Resumen!$C$18),IF(AND(H105&gt;=Resumen!$C$18,H105&lt;Resumen!$C$19),Resumen!$C$16*Resumen!$C$10*Resumen!$C$13,Resumen!$C$16*Resumen!$C$10*Resumen!$C$13*(Resumen!$C$19/H105)^Resumen!$C$17))</f>
        <v>0.29280932038834956</v>
      </c>
    </row>
    <row r="106" spans="8:10" x14ac:dyDescent="0.3">
      <c r="H106" s="3">
        <v>2.08</v>
      </c>
      <c r="I106" s="3">
        <f>J106*Resumen!$E$66/(MIN(Resumen!$I$60:$I$61)*Resumen!$E$77*Resumen!$E$78)</f>
        <v>4.4752136752136761E-2</v>
      </c>
      <c r="J106" s="3">
        <f>IF(H106&lt;Resumen!$C$18,Resumen!$C$10*Resumen!$C$13*(1+(Resumen!$C$16-1)*H106/Resumen!$C$18),IF(AND(H106&gt;=Resumen!$C$18,H106&lt;Resumen!$C$19),Resumen!$C$16*Resumen!$C$10*Resumen!$C$13,Resumen!$C$16*Resumen!$C$10*Resumen!$C$13*(Resumen!$C$19/H106)^Resumen!$C$17))</f>
        <v>0.28999384615384621</v>
      </c>
    </row>
    <row r="107" spans="8:10" x14ac:dyDescent="0.3">
      <c r="H107" s="3">
        <v>2.1</v>
      </c>
      <c r="I107" s="3">
        <f>J107*Resumen!$E$66/(MIN(Resumen!$I$60:$I$61)*Resumen!$E$77*Resumen!$E$78)</f>
        <v>4.4325925925925928E-2</v>
      </c>
      <c r="J107" s="3">
        <f>IF(H107&lt;Resumen!$C$18,Resumen!$C$10*Resumen!$C$13*(1+(Resumen!$C$16-1)*H107/Resumen!$C$18),IF(AND(H107&gt;=Resumen!$C$18,H107&lt;Resumen!$C$19),Resumen!$C$16*Resumen!$C$10*Resumen!$C$13,Resumen!$C$16*Resumen!$C$10*Resumen!$C$13*(Resumen!$C$19/H107)^Resumen!$C$17))</f>
        <v>0.28723200000000004</v>
      </c>
    </row>
    <row r="108" spans="8:10" x14ac:dyDescent="0.3">
      <c r="H108" s="3">
        <v>2.12</v>
      </c>
      <c r="I108" s="3">
        <f>J108*Resumen!$E$66/(MIN(Resumen!$I$60:$I$61)*Resumen!$E$77*Resumen!$E$78)</f>
        <v>4.3907756813417194E-2</v>
      </c>
      <c r="J108" s="3">
        <f>IF(H108&lt;Resumen!$C$18,Resumen!$C$10*Resumen!$C$13*(1+(Resumen!$C$16-1)*H108/Resumen!$C$18),IF(AND(H108&gt;=Resumen!$C$18,H108&lt;Resumen!$C$19),Resumen!$C$16*Resumen!$C$10*Resumen!$C$13,Resumen!$C$16*Resumen!$C$10*Resumen!$C$13*(Resumen!$C$19/H108)^Resumen!$C$17))</f>
        <v>0.28452226415094345</v>
      </c>
    </row>
    <row r="109" spans="8:10" x14ac:dyDescent="0.3">
      <c r="H109" s="3">
        <v>2.14</v>
      </c>
      <c r="I109" s="3">
        <f>J109*Resumen!$E$66/(MIN(Resumen!$I$60:$I$61)*Resumen!$E$77*Resumen!$E$78)</f>
        <v>4.3497403946002079E-2</v>
      </c>
      <c r="J109" s="3">
        <f>IF(H109&lt;Resumen!$C$18,Resumen!$C$10*Resumen!$C$13*(1+(Resumen!$C$16-1)*H109/Resumen!$C$18),IF(AND(H109&gt;=Resumen!$C$18,H109&lt;Resumen!$C$19),Resumen!$C$16*Resumen!$C$10*Resumen!$C$13,Resumen!$C$16*Resumen!$C$10*Resumen!$C$13*(Resumen!$C$19/H109)^Resumen!$C$17))</f>
        <v>0.28186317757009349</v>
      </c>
    </row>
    <row r="110" spans="8:10" x14ac:dyDescent="0.3">
      <c r="H110" s="3">
        <v>2.16</v>
      </c>
      <c r="I110" s="3">
        <f>J110*Resumen!$E$66/(MIN(Resumen!$I$60:$I$61)*Resumen!$E$77*Resumen!$E$78)</f>
        <v>4.3094650205761316E-2</v>
      </c>
      <c r="J110" s="3">
        <f>IF(H110&lt;Resumen!$C$18,Resumen!$C$10*Resumen!$C$13*(1+(Resumen!$C$16-1)*H110/Resumen!$C$18),IF(AND(H110&gt;=Resumen!$C$18,H110&lt;Resumen!$C$19),Resumen!$C$16*Resumen!$C$10*Resumen!$C$13,Resumen!$C$16*Resumen!$C$10*Resumen!$C$13*(Resumen!$C$19/H110)^Resumen!$C$17))</f>
        <v>0.27925333333333335</v>
      </c>
    </row>
    <row r="111" spans="8:10" x14ac:dyDescent="0.3">
      <c r="H111" s="3">
        <v>2.1800000000000002</v>
      </c>
      <c r="I111" s="3">
        <f>J111*Resumen!$E$66/(MIN(Resumen!$I$60:$I$61)*Resumen!$E$77*Resumen!$E$78)</f>
        <v>4.2699286442405712E-2</v>
      </c>
      <c r="J111" s="3">
        <f>IF(H111&lt;Resumen!$C$18,Resumen!$C$10*Resumen!$C$13*(1+(Resumen!$C$16-1)*H111/Resumen!$C$18),IF(AND(H111&gt;=Resumen!$C$18,H111&lt;Resumen!$C$19),Resumen!$C$16*Resumen!$C$10*Resumen!$C$13,Resumen!$C$16*Resumen!$C$10*Resumen!$C$13*(Resumen!$C$19/H111)^Resumen!$C$17))</f>
        <v>0.27669137614678901</v>
      </c>
    </row>
    <row r="112" spans="8:10" x14ac:dyDescent="0.3">
      <c r="H112" s="3">
        <v>2.2000000000000002</v>
      </c>
      <c r="I112" s="3">
        <f>J112*Resumen!$E$66/(MIN(Resumen!$I$60:$I$61)*Resumen!$E$77*Resumen!$E$78)</f>
        <v>4.2311111111111112E-2</v>
      </c>
      <c r="J112" s="3">
        <f>IF(H112&lt;Resumen!$C$18,Resumen!$C$10*Resumen!$C$13*(1+(Resumen!$C$16-1)*H112/Resumen!$C$18),IF(AND(H112&gt;=Resumen!$C$18,H112&lt;Resumen!$C$19),Resumen!$C$16*Resumen!$C$10*Resumen!$C$13,Resumen!$C$16*Resumen!$C$10*Resumen!$C$13*(Resumen!$C$19/H112)^Resumen!$C$17))</f>
        <v>0.27417600000000003</v>
      </c>
    </row>
    <row r="113" spans="8:10" x14ac:dyDescent="0.3">
      <c r="H113" s="3">
        <v>2.2200000000000002</v>
      </c>
      <c r="I113" s="3">
        <f>J113*Resumen!$E$66/(MIN(Resumen!$I$60:$I$61)*Resumen!$E$77*Resumen!$E$78)</f>
        <v>4.1929929929929936E-2</v>
      </c>
      <c r="J113" s="3">
        <f>IF(H113&lt;Resumen!$C$18,Resumen!$C$10*Resumen!$C$13*(1+(Resumen!$C$16-1)*H113/Resumen!$C$18),IF(AND(H113&gt;=Resumen!$C$18,H113&lt;Resumen!$C$19),Resumen!$C$16*Resumen!$C$10*Resumen!$C$13,Resumen!$C$16*Resumen!$C$10*Resumen!$C$13*(Resumen!$C$19/H113)^Resumen!$C$17))</f>
        <v>0.27170594594594599</v>
      </c>
    </row>
    <row r="114" spans="8:10" x14ac:dyDescent="0.3">
      <c r="H114" s="3">
        <v>2.2400000000000002</v>
      </c>
      <c r="I114" s="3">
        <f>J114*Resumen!$E$66/(MIN(Resumen!$I$60:$I$61)*Resumen!$E$77*Resumen!$E$78)</f>
        <v>4.1555555555555554E-2</v>
      </c>
      <c r="J114" s="3">
        <f>IF(H114&lt;Resumen!$C$18,Resumen!$C$10*Resumen!$C$13*(1+(Resumen!$C$16-1)*H114/Resumen!$C$18),IF(AND(H114&gt;=Resumen!$C$18,H114&lt;Resumen!$C$19),Resumen!$C$16*Resumen!$C$10*Resumen!$C$13,Resumen!$C$16*Resumen!$C$10*Resumen!$C$13*(Resumen!$C$19/H114)^Resumen!$C$17))</f>
        <v>0.26928000000000002</v>
      </c>
    </row>
    <row r="115" spans="8:10" x14ac:dyDescent="0.3">
      <c r="H115" s="3">
        <v>2.2599999999999998</v>
      </c>
      <c r="I115" s="3">
        <f>J115*Resumen!$E$66/(MIN(Resumen!$I$60:$I$61)*Resumen!$E$77*Resumen!$E$78)</f>
        <v>4.1187807276302862E-2</v>
      </c>
      <c r="J115" s="3">
        <f>IF(H115&lt;Resumen!$C$18,Resumen!$C$10*Resumen!$C$13*(1+(Resumen!$C$16-1)*H115/Resumen!$C$18),IF(AND(H115&gt;=Resumen!$C$18,H115&lt;Resumen!$C$19),Resumen!$C$16*Resumen!$C$10*Resumen!$C$13,Resumen!$C$16*Resumen!$C$10*Resumen!$C$13*(Resumen!$C$19/H115)^Resumen!$C$17))</f>
        <v>0.26689699115044258</v>
      </c>
    </row>
    <row r="116" spans="8:10" x14ac:dyDescent="0.3">
      <c r="H116" s="3">
        <v>2.2799999999999998</v>
      </c>
      <c r="I116" s="3">
        <f>J116*Resumen!$E$66/(MIN(Resumen!$I$60:$I$61)*Resumen!$E$77*Resumen!$E$78)</f>
        <v>4.0826510721247565E-2</v>
      </c>
      <c r="J116" s="3">
        <f>IF(H116&lt;Resumen!$C$18,Resumen!$C$10*Resumen!$C$13*(1+(Resumen!$C$16-1)*H116/Resumen!$C$18),IF(AND(H116&gt;=Resumen!$C$18,H116&lt;Resumen!$C$19),Resumen!$C$16*Resumen!$C$10*Resumen!$C$13,Resumen!$C$16*Resumen!$C$10*Resumen!$C$13*(Resumen!$C$19/H116)^Resumen!$C$17))</f>
        <v>0.26455578947368424</v>
      </c>
    </row>
    <row r="117" spans="8:10" x14ac:dyDescent="0.3">
      <c r="H117" s="3">
        <v>2.2999999999999998</v>
      </c>
      <c r="I117" s="3">
        <f>J117*Resumen!$E$66/(MIN(Resumen!$I$60:$I$61)*Resumen!$E$77*Resumen!$E$78)</f>
        <v>4.0471497584541077E-2</v>
      </c>
      <c r="J117" s="3">
        <f>IF(H117&lt;Resumen!$C$18,Resumen!$C$10*Resumen!$C$13*(1+(Resumen!$C$16-1)*H117/Resumen!$C$18),IF(AND(H117&gt;=Resumen!$C$18,H117&lt;Resumen!$C$19),Resumen!$C$16*Resumen!$C$10*Resumen!$C$13,Resumen!$C$16*Resumen!$C$10*Resumen!$C$13*(Resumen!$C$19/H117)^Resumen!$C$17))</f>
        <v>0.26225530434782618</v>
      </c>
    </row>
    <row r="118" spans="8:10" x14ac:dyDescent="0.3">
      <c r="H118" s="3">
        <v>2.3199999999999998</v>
      </c>
      <c r="I118" s="3">
        <f>J118*Resumen!$E$66/(MIN(Resumen!$I$60:$I$61)*Resumen!$E$77*Resumen!$E$78)</f>
        <v>4.0122605363984681E-2</v>
      </c>
      <c r="J118" s="3">
        <f>IF(H118&lt;Resumen!$C$18,Resumen!$C$10*Resumen!$C$13*(1+(Resumen!$C$16-1)*H118/Resumen!$C$18),IF(AND(H118&gt;=Resumen!$C$18,H118&lt;Resumen!$C$19),Resumen!$C$16*Resumen!$C$10*Resumen!$C$13,Resumen!$C$16*Resumen!$C$10*Resumen!$C$13*(Resumen!$C$19/H118)^Resumen!$C$17))</f>
        <v>0.25999448275862075</v>
      </c>
    </row>
    <row r="119" spans="8:10" x14ac:dyDescent="0.3">
      <c r="H119" s="3">
        <v>2.34</v>
      </c>
      <c r="I119" s="3">
        <f>J119*Resumen!$E$66/(MIN(Resumen!$I$60:$I$61)*Resumen!$E$77*Resumen!$E$78)</f>
        <v>3.9779677113010461E-2</v>
      </c>
      <c r="J119" s="3">
        <f>IF(H119&lt;Resumen!$C$18,Resumen!$C$10*Resumen!$C$13*(1+(Resumen!$C$16-1)*H119/Resumen!$C$18),IF(AND(H119&gt;=Resumen!$C$18,H119&lt;Resumen!$C$19),Resumen!$C$16*Resumen!$C$10*Resumen!$C$13,Resumen!$C$16*Resumen!$C$10*Resumen!$C$13*(Resumen!$C$19/H119)^Resumen!$C$17))</f>
        <v>0.2577723076923078</v>
      </c>
    </row>
    <row r="120" spans="8:10" x14ac:dyDescent="0.3">
      <c r="H120" s="3">
        <v>2.36</v>
      </c>
      <c r="I120" s="3">
        <f>J120*Resumen!$E$66/(MIN(Resumen!$I$60:$I$61)*Resumen!$E$77*Resumen!$E$78)</f>
        <v>3.9442561205273077E-2</v>
      </c>
      <c r="J120" s="3">
        <f>IF(H120&lt;Resumen!$C$18,Resumen!$C$10*Resumen!$C$13*(1+(Resumen!$C$16-1)*H120/Resumen!$C$18),IF(AND(H120&gt;=Resumen!$C$18,H120&lt;Resumen!$C$19),Resumen!$C$16*Resumen!$C$10*Resumen!$C$13,Resumen!$C$16*Resumen!$C$10*Resumen!$C$13*(Resumen!$C$19/H120)^Resumen!$C$17))</f>
        <v>0.25558779661016956</v>
      </c>
    </row>
    <row r="121" spans="8:10" x14ac:dyDescent="0.3">
      <c r="H121" s="3">
        <v>2.38</v>
      </c>
      <c r="I121" s="3">
        <f>J121*Resumen!$E$66/(MIN(Resumen!$I$60:$I$61)*Resumen!$E$77*Resumen!$E$78)</f>
        <v>3.9111111111111117E-2</v>
      </c>
      <c r="J121" s="3">
        <f>IF(H121&lt;Resumen!$C$18,Resumen!$C$10*Resumen!$C$13*(1+(Resumen!$C$16-1)*H121/Resumen!$C$18),IF(AND(H121&gt;=Resumen!$C$18,H121&lt;Resumen!$C$19),Resumen!$C$16*Resumen!$C$10*Resumen!$C$13,Resumen!$C$16*Resumen!$C$10*Resumen!$C$13*(Resumen!$C$19/H121)^Resumen!$C$17))</f>
        <v>0.25344000000000005</v>
      </c>
    </row>
    <row r="122" spans="8:10" x14ac:dyDescent="0.3">
      <c r="H122" s="3">
        <v>2.4</v>
      </c>
      <c r="I122" s="3">
        <f>J122*Resumen!$E$66/(MIN(Resumen!$I$60:$I$61)*Resumen!$E$77*Resumen!$E$78)</f>
        <v>3.8785185185185193E-2</v>
      </c>
      <c r="J122" s="3">
        <f>IF(H122&lt;Resumen!$C$18,Resumen!$C$10*Resumen!$C$13*(1+(Resumen!$C$16-1)*H122/Resumen!$C$18),IF(AND(H122&gt;=Resumen!$C$18,H122&lt;Resumen!$C$19),Resumen!$C$16*Resumen!$C$10*Resumen!$C$13,Resumen!$C$16*Resumen!$C$10*Resumen!$C$13*(Resumen!$C$19/H122)^Resumen!$C$17))</f>
        <v>0.25132800000000005</v>
      </c>
    </row>
    <row r="123" spans="8:10" x14ac:dyDescent="0.3">
      <c r="H123" s="3">
        <v>2.42</v>
      </c>
      <c r="I123" s="3">
        <f>J123*Resumen!$E$66/(MIN(Resumen!$I$60:$I$61)*Resumen!$E$77*Resumen!$E$78)</f>
        <v>3.8464646464646465E-2</v>
      </c>
      <c r="J123" s="3">
        <f>IF(H123&lt;Resumen!$C$18,Resumen!$C$10*Resumen!$C$13*(1+(Resumen!$C$16-1)*H123/Resumen!$C$18),IF(AND(H123&gt;=Resumen!$C$18,H123&lt;Resumen!$C$19),Resumen!$C$16*Resumen!$C$10*Resumen!$C$13,Resumen!$C$16*Resumen!$C$10*Resumen!$C$13*(Resumen!$C$19/H123)^Resumen!$C$17))</f>
        <v>0.24925090909090913</v>
      </c>
    </row>
    <row r="124" spans="8:10" x14ac:dyDescent="0.3">
      <c r="H124" s="3">
        <v>2.44</v>
      </c>
      <c r="I124" s="3">
        <f>J124*Resumen!$E$66/(MIN(Resumen!$I$60:$I$61)*Resumen!$E$77*Resumen!$E$78)</f>
        <v>3.814936247723133E-2</v>
      </c>
      <c r="J124" s="3">
        <f>IF(H124&lt;Resumen!$C$18,Resumen!$C$10*Resumen!$C$13*(1+(Resumen!$C$16-1)*H124/Resumen!$C$18),IF(AND(H124&gt;=Resumen!$C$18,H124&lt;Resumen!$C$19),Resumen!$C$16*Resumen!$C$10*Resumen!$C$13,Resumen!$C$16*Resumen!$C$10*Resumen!$C$13*(Resumen!$C$19/H124)^Resumen!$C$17))</f>
        <v>0.24720786885245905</v>
      </c>
    </row>
    <row r="125" spans="8:10" x14ac:dyDescent="0.3">
      <c r="H125" s="3">
        <v>2.46</v>
      </c>
      <c r="I125" s="3">
        <f>J125*Resumen!$E$66/(MIN(Resumen!$I$60:$I$61)*Resumen!$E$77*Resumen!$E$78)</f>
        <v>3.7839205058717261E-2</v>
      </c>
      <c r="J125" s="3">
        <f>IF(H125&lt;Resumen!$C$18,Resumen!$C$10*Resumen!$C$13*(1+(Resumen!$C$16-1)*H125/Resumen!$C$18),IF(AND(H125&gt;=Resumen!$C$18,H125&lt;Resumen!$C$19),Resumen!$C$16*Resumen!$C$10*Resumen!$C$13,Resumen!$C$16*Resumen!$C$10*Resumen!$C$13*(Resumen!$C$19/H125)^Resumen!$C$17))</f>
        <v>0.24519804878048787</v>
      </c>
    </row>
    <row r="126" spans="8:10" x14ac:dyDescent="0.3">
      <c r="H126" s="3">
        <v>2.48</v>
      </c>
      <c r="I126" s="3">
        <f>J126*Resumen!$E$66/(MIN(Resumen!$I$60:$I$61)*Resumen!$E$77*Resumen!$E$78)</f>
        <v>3.7534050179211478E-2</v>
      </c>
      <c r="J126" s="3">
        <f>IF(H126&lt;Resumen!$C$18,Resumen!$C$10*Resumen!$C$13*(1+(Resumen!$C$16-1)*H126/Resumen!$C$18),IF(AND(H126&gt;=Resumen!$C$18,H126&lt;Resumen!$C$19),Resumen!$C$16*Resumen!$C$10*Resumen!$C$13,Resumen!$C$16*Resumen!$C$10*Resumen!$C$13*(Resumen!$C$19/H126)^Resumen!$C$17))</f>
        <v>0.24322064516129038</v>
      </c>
    </row>
    <row r="127" spans="8:10" x14ac:dyDescent="0.3">
      <c r="H127" s="3">
        <v>2.5</v>
      </c>
      <c r="I127" s="3">
        <f>J127*Resumen!$E$66/(MIN(Resumen!$I$60:$I$61)*Resumen!$E$77*Resumen!$E$78)</f>
        <v>3.7233777777777782E-2</v>
      </c>
      <c r="J127" s="3">
        <f>IF(H127&lt;Resumen!$C$18,Resumen!$C$10*Resumen!$C$13*(1+(Resumen!$C$16-1)*H127/Resumen!$C$18),IF(AND(H127&gt;=Resumen!$C$18,H127&lt;Resumen!$C$19),Resumen!$C$16*Resumen!$C$10*Resumen!$C$13,Resumen!$C$16*Resumen!$C$10*Resumen!$C$13*(Resumen!$C$19/H127)^Resumen!$C$17))</f>
        <v>0.24127488000000005</v>
      </c>
    </row>
    <row r="128" spans="8:10" x14ac:dyDescent="0.3">
      <c r="H128" s="3">
        <v>2.52</v>
      </c>
      <c r="I128" s="3">
        <f>J128*Resumen!$E$66/(MIN(Resumen!$I$60:$I$61)*Resumen!$E$77*Resumen!$E$78)</f>
        <v>3.6938271604938282E-2</v>
      </c>
      <c r="J128" s="3">
        <f>IF(H128&lt;Resumen!$C$18,Resumen!$C$10*Resumen!$C$13*(1+(Resumen!$C$16-1)*H128/Resumen!$C$18),IF(AND(H128&gt;=Resumen!$C$18,H128&lt;Resumen!$C$19),Resumen!$C$16*Resumen!$C$10*Resumen!$C$13,Resumen!$C$16*Resumen!$C$10*Resumen!$C$13*(Resumen!$C$19/H128)^Resumen!$C$17))</f>
        <v>0.23936000000000007</v>
      </c>
    </row>
    <row r="129" spans="8:10" x14ac:dyDescent="0.3">
      <c r="H129" s="3">
        <v>2.54</v>
      </c>
      <c r="I129" s="3">
        <f>J129*Resumen!$E$66/(MIN(Resumen!$I$60:$I$61)*Resumen!$E$77*Resumen!$E$78)</f>
        <v>3.6647419072615928E-2</v>
      </c>
      <c r="J129" s="3">
        <f>IF(H129&lt;Resumen!$C$18,Resumen!$C$10*Resumen!$C$13*(1+(Resumen!$C$16-1)*H129/Resumen!$C$18),IF(AND(H129&gt;=Resumen!$C$18,H129&lt;Resumen!$C$19),Resumen!$C$16*Resumen!$C$10*Resumen!$C$13,Resumen!$C$16*Resumen!$C$10*Resumen!$C$13*(Resumen!$C$19/H129)^Resumen!$C$17))</f>
        <v>0.23747527559055123</v>
      </c>
    </row>
    <row r="130" spans="8:10" x14ac:dyDescent="0.3">
      <c r="H130" s="3">
        <v>2.56</v>
      </c>
      <c r="I130" s="3">
        <f>J130*Resumen!$E$66/(MIN(Resumen!$I$60:$I$61)*Resumen!$E$77*Resumen!$E$78)</f>
        <v>3.6361111111111115E-2</v>
      </c>
      <c r="J130" s="3">
        <f>IF(H130&lt;Resumen!$C$18,Resumen!$C$10*Resumen!$C$13*(1+(Resumen!$C$16-1)*H130/Resumen!$C$18),IF(AND(H130&gt;=Resumen!$C$18,H130&lt;Resumen!$C$19),Resumen!$C$16*Resumen!$C$10*Resumen!$C$13,Resumen!$C$16*Resumen!$C$10*Resumen!$C$13*(Resumen!$C$19/H130)^Resumen!$C$17))</f>
        <v>0.23562000000000002</v>
      </c>
    </row>
    <row r="131" spans="8:10" x14ac:dyDescent="0.3">
      <c r="H131" s="3">
        <v>2.58</v>
      </c>
      <c r="I131" s="3">
        <f>J131*Resumen!$E$66/(MIN(Resumen!$I$60:$I$61)*Resumen!$E$77*Resumen!$E$78)</f>
        <v>3.6079242032730413E-2</v>
      </c>
      <c r="J131" s="3">
        <f>IF(H131&lt;Resumen!$C$18,Resumen!$C$10*Resumen!$C$13*(1+(Resumen!$C$16-1)*H131/Resumen!$C$18),IF(AND(H131&gt;=Resumen!$C$18,H131&lt;Resumen!$C$19),Resumen!$C$16*Resumen!$C$10*Resumen!$C$13,Resumen!$C$16*Resumen!$C$10*Resumen!$C$13*(Resumen!$C$19/H131)^Resumen!$C$17))</f>
        <v>0.23379348837209307</v>
      </c>
    </row>
    <row r="132" spans="8:10" x14ac:dyDescent="0.3">
      <c r="H132" s="3">
        <v>2.6</v>
      </c>
      <c r="I132" s="3">
        <f>J132*Resumen!$E$66/(MIN(Resumen!$I$60:$I$61)*Resumen!$E$77*Resumen!$E$78)</f>
        <v>3.580170940170941E-2</v>
      </c>
      <c r="J132" s="3">
        <f>IF(H132&lt;Resumen!$C$18,Resumen!$C$10*Resumen!$C$13*(1+(Resumen!$C$16-1)*H132/Resumen!$C$18),IF(AND(H132&gt;=Resumen!$C$18,H132&lt;Resumen!$C$19),Resumen!$C$16*Resumen!$C$10*Resumen!$C$13,Resumen!$C$16*Resumen!$C$10*Resumen!$C$13*(Resumen!$C$19/H132)^Resumen!$C$17))</f>
        <v>0.23199507692307697</v>
      </c>
    </row>
    <row r="133" spans="8:10" x14ac:dyDescent="0.3">
      <c r="H133" s="3">
        <v>2.62</v>
      </c>
      <c r="I133" s="3">
        <f>J133*Resumen!$E$66/(MIN(Resumen!$I$60:$I$61)*Resumen!$E$77*Resumen!$E$78)</f>
        <v>3.5528413910093301E-2</v>
      </c>
      <c r="J133" s="3">
        <f>IF(H133&lt;Resumen!$C$18,Resumen!$C$10*Resumen!$C$13*(1+(Resumen!$C$16-1)*H133/Resumen!$C$18),IF(AND(H133&gt;=Resumen!$C$18,H133&lt;Resumen!$C$19),Resumen!$C$16*Resumen!$C$10*Resumen!$C$13,Resumen!$C$16*Resumen!$C$10*Resumen!$C$13*(Resumen!$C$19/H133)^Resumen!$C$17))</f>
        <v>0.23022412213740462</v>
      </c>
    </row>
    <row r="134" spans="8:10" x14ac:dyDescent="0.3">
      <c r="H134" s="3">
        <v>2.64</v>
      </c>
      <c r="I134" s="3">
        <f>J134*Resumen!$E$66/(MIN(Resumen!$I$60:$I$61)*Resumen!$E$77*Resumen!$E$78)</f>
        <v>3.5259259259259261E-2</v>
      </c>
      <c r="J134" s="3">
        <f>IF(H134&lt;Resumen!$C$18,Resumen!$C$10*Resumen!$C$13*(1+(Resumen!$C$16-1)*H134/Resumen!$C$18),IF(AND(H134&gt;=Resumen!$C$18,H134&lt;Resumen!$C$19),Resumen!$C$16*Resumen!$C$10*Resumen!$C$13,Resumen!$C$16*Resumen!$C$10*Resumen!$C$13*(Resumen!$C$19/H134)^Resumen!$C$17))</f>
        <v>0.22848000000000002</v>
      </c>
    </row>
    <row r="135" spans="8:10" x14ac:dyDescent="0.3">
      <c r="H135" s="3">
        <v>2.66</v>
      </c>
      <c r="I135" s="3">
        <f>J135*Resumen!$E$66/(MIN(Resumen!$I$60:$I$61)*Resumen!$E$77*Resumen!$E$78)</f>
        <v>3.4994152046783626E-2</v>
      </c>
      <c r="J135" s="3">
        <f>IF(H135&lt;Resumen!$C$18,Resumen!$C$10*Resumen!$C$13*(1+(Resumen!$C$16-1)*H135/Resumen!$C$18),IF(AND(H135&gt;=Resumen!$C$18,H135&lt;Resumen!$C$19),Resumen!$C$16*Resumen!$C$10*Resumen!$C$13,Resumen!$C$16*Resumen!$C$10*Resumen!$C$13*(Resumen!$C$19/H135)^Resumen!$C$17))</f>
        <v>0.22676210526315793</v>
      </c>
    </row>
    <row r="136" spans="8:10" x14ac:dyDescent="0.3">
      <c r="H136" s="3">
        <v>2.68</v>
      </c>
      <c r="I136" s="3">
        <f>J136*Resumen!$E$66/(MIN(Resumen!$I$60:$I$61)*Resumen!$E$77*Resumen!$E$78)</f>
        <v>3.4733001658374792E-2</v>
      </c>
      <c r="J136" s="3">
        <f>IF(H136&lt;Resumen!$C$18,Resumen!$C$10*Resumen!$C$13*(1+(Resumen!$C$16-1)*H136/Resumen!$C$18),IF(AND(H136&gt;=Resumen!$C$18,H136&lt;Resumen!$C$19),Resumen!$C$16*Resumen!$C$10*Resumen!$C$13,Resumen!$C$16*Resumen!$C$10*Resumen!$C$13*(Resumen!$C$19/H136)^Resumen!$C$17))</f>
        <v>0.22506985074626867</v>
      </c>
    </row>
    <row r="137" spans="8:10" x14ac:dyDescent="0.3">
      <c r="H137" s="3">
        <v>2.7</v>
      </c>
      <c r="I137" s="3">
        <f>J137*Resumen!$E$66/(MIN(Resumen!$I$60:$I$61)*Resumen!$E$77*Resumen!$E$78)</f>
        <v>3.4475720164609057E-2</v>
      </c>
      <c r="J137" s="3">
        <f>IF(H137&lt;Resumen!$C$18,Resumen!$C$10*Resumen!$C$13*(1+(Resumen!$C$16-1)*H137/Resumen!$C$18),IF(AND(H137&gt;=Resumen!$C$18,H137&lt;Resumen!$C$19),Resumen!$C$16*Resumen!$C$10*Resumen!$C$13,Resumen!$C$16*Resumen!$C$10*Resumen!$C$13*(Resumen!$C$19/H137)^Resumen!$C$17))</f>
        <v>0.22340266666666669</v>
      </c>
    </row>
    <row r="138" spans="8:10" x14ac:dyDescent="0.3">
      <c r="H138" s="3">
        <v>2.72</v>
      </c>
      <c r="I138" s="3">
        <f>J138*Resumen!$E$66/(MIN(Resumen!$I$60:$I$61)*Resumen!$E$77*Resumen!$E$78)</f>
        <v>3.4222222222222223E-2</v>
      </c>
      <c r="J138" s="3">
        <f>IF(H138&lt;Resumen!$C$18,Resumen!$C$10*Resumen!$C$13*(1+(Resumen!$C$16-1)*H138/Resumen!$C$18),IF(AND(H138&gt;=Resumen!$C$18,H138&lt;Resumen!$C$19),Resumen!$C$16*Resumen!$C$10*Resumen!$C$13,Resumen!$C$16*Resumen!$C$10*Resumen!$C$13*(Resumen!$C$19/H138)^Resumen!$C$17))</f>
        <v>0.22176000000000001</v>
      </c>
    </row>
    <row r="139" spans="8:10" x14ac:dyDescent="0.3">
      <c r="H139" s="3">
        <v>2.74</v>
      </c>
      <c r="I139" s="3">
        <f>J139*Resumen!$E$66/(MIN(Resumen!$I$60:$I$61)*Resumen!$E$77*Resumen!$E$78)</f>
        <v>3.3972424979724247E-2</v>
      </c>
      <c r="J139" s="3">
        <f>IF(H139&lt;Resumen!$C$18,Resumen!$C$10*Resumen!$C$13*(1+(Resumen!$C$16-1)*H139/Resumen!$C$18),IF(AND(H139&gt;=Resumen!$C$18,H139&lt;Resumen!$C$19),Resumen!$C$16*Resumen!$C$10*Resumen!$C$13,Resumen!$C$16*Resumen!$C$10*Resumen!$C$13*(Resumen!$C$19/H139)^Resumen!$C$17))</f>
        <v>0.22014131386861316</v>
      </c>
    </row>
    <row r="140" spans="8:10" x14ac:dyDescent="0.3">
      <c r="H140" s="3">
        <v>2.76</v>
      </c>
      <c r="I140" s="3">
        <f>J140*Resumen!$E$66/(MIN(Resumen!$I$60:$I$61)*Resumen!$E$77*Resumen!$E$78)</f>
        <v>3.3726247987117555E-2</v>
      </c>
      <c r="J140" s="3">
        <f>IF(H140&lt;Resumen!$C$18,Resumen!$C$10*Resumen!$C$13*(1+(Resumen!$C$16-1)*H140/Resumen!$C$18),IF(AND(H140&gt;=Resumen!$C$18,H140&lt;Resumen!$C$19),Resumen!$C$16*Resumen!$C$10*Resumen!$C$13,Resumen!$C$16*Resumen!$C$10*Resumen!$C$13*(Resumen!$C$19/H140)^Resumen!$C$17))</f>
        <v>0.21854608695652178</v>
      </c>
    </row>
    <row r="141" spans="8:10" x14ac:dyDescent="0.3">
      <c r="H141" s="3">
        <v>2.78</v>
      </c>
      <c r="I141" s="3">
        <f>J141*Resumen!$E$66/(MIN(Resumen!$I$60:$I$61)*Resumen!$E$77*Resumen!$E$78)</f>
        <v>3.3483613109512395E-2</v>
      </c>
      <c r="J141" s="3">
        <f>IF(H141&lt;Resumen!$C$18,Resumen!$C$10*Resumen!$C$13*(1+(Resumen!$C$16-1)*H141/Resumen!$C$18),IF(AND(H141&gt;=Resumen!$C$18,H141&lt;Resumen!$C$19),Resumen!$C$16*Resumen!$C$10*Resumen!$C$13,Resumen!$C$16*Resumen!$C$10*Resumen!$C$13*(Resumen!$C$19/H141)^Resumen!$C$17))</f>
        <v>0.21697381294964033</v>
      </c>
    </row>
    <row r="142" spans="8:10" x14ac:dyDescent="0.3">
      <c r="H142" s="3">
        <v>2.8</v>
      </c>
      <c r="I142" s="3">
        <f>J142*Resumen!$E$66/(MIN(Resumen!$I$60:$I$61)*Resumen!$E$77*Resumen!$E$78)</f>
        <v>3.3244444444444451E-2</v>
      </c>
      <c r="J142" s="3">
        <f>IF(H142&lt;Resumen!$C$18,Resumen!$C$10*Resumen!$C$13*(1+(Resumen!$C$16-1)*H142/Resumen!$C$18),IF(AND(H142&gt;=Resumen!$C$18,H142&lt;Resumen!$C$19),Resumen!$C$16*Resumen!$C$10*Resumen!$C$13,Resumen!$C$16*Resumen!$C$10*Resumen!$C$13*(Resumen!$C$19/H142)^Resumen!$C$17))</f>
        <v>0.21542400000000006</v>
      </c>
    </row>
    <row r="143" spans="8:10" x14ac:dyDescent="0.3">
      <c r="H143" s="3">
        <v>2.82</v>
      </c>
      <c r="I143" s="3">
        <f>J143*Resumen!$E$66/(MIN(Resumen!$I$60:$I$61)*Resumen!$E$77*Resumen!$E$78)</f>
        <v>3.3008668242710801E-2</v>
      </c>
      <c r="J143" s="3">
        <f>IF(H143&lt;Resumen!$C$18,Resumen!$C$10*Resumen!$C$13*(1+(Resumen!$C$16-1)*H143/Resumen!$C$18),IF(AND(H143&gt;=Resumen!$C$18,H143&lt;Resumen!$C$19),Resumen!$C$16*Resumen!$C$10*Resumen!$C$13,Resumen!$C$16*Resumen!$C$10*Resumen!$C$13*(Resumen!$C$19/H143)^Resumen!$C$17))</f>
        <v>0.213896170212766</v>
      </c>
    </row>
    <row r="144" spans="8:10" x14ac:dyDescent="0.3">
      <c r="H144" s="3">
        <v>2.84</v>
      </c>
      <c r="I144" s="3">
        <f>J144*Resumen!$E$66/(MIN(Resumen!$I$60:$I$61)*Resumen!$E$77*Resumen!$E$78)</f>
        <v>3.2776212832550868E-2</v>
      </c>
      <c r="J144" s="3">
        <f>IF(H144&lt;Resumen!$C$18,Resumen!$C$10*Resumen!$C$13*(1+(Resumen!$C$16-1)*H144/Resumen!$C$18),IF(AND(H144&gt;=Resumen!$C$18,H144&lt;Resumen!$C$19),Resumen!$C$16*Resumen!$C$10*Resumen!$C$13,Resumen!$C$16*Resumen!$C$10*Resumen!$C$13*(Resumen!$C$19/H144)^Resumen!$C$17))</f>
        <v>0.21238985915492964</v>
      </c>
    </row>
    <row r="145" spans="8:10" x14ac:dyDescent="0.3">
      <c r="H145" s="3">
        <v>2.86</v>
      </c>
      <c r="I145" s="3">
        <f>J145*Resumen!$E$66/(MIN(Resumen!$I$60:$I$61)*Resumen!$E$77*Resumen!$E$78)</f>
        <v>3.2547008547008552E-2</v>
      </c>
      <c r="J145" s="3">
        <f>IF(H145&lt;Resumen!$C$18,Resumen!$C$10*Resumen!$C$13*(1+(Resumen!$C$16-1)*H145/Resumen!$C$18),IF(AND(H145&gt;=Resumen!$C$18,H145&lt;Resumen!$C$19),Resumen!$C$16*Resumen!$C$10*Resumen!$C$13,Resumen!$C$16*Resumen!$C$10*Resumen!$C$13*(Resumen!$C$19/H145)^Resumen!$C$17))</f>
        <v>0.21090461538461541</v>
      </c>
    </row>
    <row r="146" spans="8:10" x14ac:dyDescent="0.3">
      <c r="H146" s="3">
        <v>2.88</v>
      </c>
      <c r="I146" s="3">
        <f>J146*Resumen!$E$66/(MIN(Resumen!$I$60:$I$61)*Resumen!$E$77*Resumen!$E$78)</f>
        <v>3.2320987654320989E-2</v>
      </c>
      <c r="J146" s="3">
        <f>IF(H146&lt;Resumen!$C$18,Resumen!$C$10*Resumen!$C$13*(1+(Resumen!$C$16-1)*H146/Resumen!$C$18),IF(AND(H146&gt;=Resumen!$C$18,H146&lt;Resumen!$C$19),Resumen!$C$16*Resumen!$C$10*Resumen!$C$13,Resumen!$C$16*Resumen!$C$10*Resumen!$C$13*(Resumen!$C$19/H146)^Resumen!$C$17))</f>
        <v>0.20944000000000004</v>
      </c>
    </row>
    <row r="147" spans="8:10" x14ac:dyDescent="0.3">
      <c r="H147" s="3">
        <v>2.9</v>
      </c>
      <c r="I147" s="3">
        <f>J147*Resumen!$E$66/(MIN(Resumen!$I$60:$I$61)*Resumen!$E$77*Resumen!$E$78)</f>
        <v>3.2098084291187746E-2</v>
      </c>
      <c r="J147" s="3">
        <f>IF(H147&lt;Resumen!$C$18,Resumen!$C$10*Resumen!$C$13*(1+(Resumen!$C$16-1)*H147/Resumen!$C$18),IF(AND(H147&gt;=Resumen!$C$18,H147&lt;Resumen!$C$19),Resumen!$C$16*Resumen!$C$10*Resumen!$C$13,Resumen!$C$16*Resumen!$C$10*Resumen!$C$13*(Resumen!$C$19/H147)^Resumen!$C$17))</f>
        <v>0.20799558620689659</v>
      </c>
    </row>
    <row r="148" spans="8:10" x14ac:dyDescent="0.3">
      <c r="H148" s="3">
        <v>2.92</v>
      </c>
      <c r="I148" s="3">
        <f>J148*Resumen!$E$66/(MIN(Resumen!$I$60:$I$61)*Resumen!$E$77*Resumen!$E$78)</f>
        <v>3.1878234398782346E-2</v>
      </c>
      <c r="J148" s="3">
        <f>IF(H148&lt;Resumen!$C$18,Resumen!$C$10*Resumen!$C$13*(1+(Resumen!$C$16-1)*H148/Resumen!$C$18),IF(AND(H148&gt;=Resumen!$C$18,H148&lt;Resumen!$C$19),Resumen!$C$16*Resumen!$C$10*Resumen!$C$13,Resumen!$C$16*Resumen!$C$10*Resumen!$C$13*(Resumen!$C$19/H148)^Resumen!$C$17))</f>
        <v>0.20657095890410962</v>
      </c>
    </row>
    <row r="149" spans="8:10" x14ac:dyDescent="0.3">
      <c r="H149" s="3">
        <v>2.94</v>
      </c>
      <c r="I149" s="3">
        <f>J149*Resumen!$E$66/(MIN(Resumen!$I$60:$I$61)*Resumen!$E$77*Resumen!$E$78)</f>
        <v>3.1661375661375668E-2</v>
      </c>
      <c r="J149" s="3">
        <f>IF(H149&lt;Resumen!$C$18,Resumen!$C$10*Resumen!$C$13*(1+(Resumen!$C$16-1)*H149/Resumen!$C$18),IF(AND(H149&gt;=Resumen!$C$18,H149&lt;Resumen!$C$19),Resumen!$C$16*Resumen!$C$10*Resumen!$C$13,Resumen!$C$16*Resumen!$C$10*Resumen!$C$13*(Resumen!$C$19/H149)^Resumen!$C$17))</f>
        <v>0.20516571428571434</v>
      </c>
    </row>
    <row r="150" spans="8:10" x14ac:dyDescent="0.3">
      <c r="H150" s="3">
        <v>2.96</v>
      </c>
      <c r="I150" s="3">
        <f>J150*Resumen!$E$66/(MIN(Resumen!$I$60:$I$61)*Resumen!$E$77*Resumen!$E$78)</f>
        <v>3.1447447447447457E-2</v>
      </c>
      <c r="J150" s="3">
        <f>IF(H150&lt;Resumen!$C$18,Resumen!$C$10*Resumen!$C$13*(1+(Resumen!$C$16-1)*H150/Resumen!$C$18),IF(AND(H150&gt;=Resumen!$C$18,H150&lt;Resumen!$C$19),Resumen!$C$16*Resumen!$C$10*Resumen!$C$13,Resumen!$C$16*Resumen!$C$10*Resumen!$C$13*(Resumen!$C$19/H150)^Resumen!$C$17))</f>
        <v>0.20377945945945952</v>
      </c>
    </row>
    <row r="151" spans="8:10" x14ac:dyDescent="0.3">
      <c r="H151" s="3">
        <v>2.98</v>
      </c>
      <c r="I151" s="3">
        <f>J151*Resumen!$E$66/(MIN(Resumen!$I$60:$I$61)*Resumen!$E$77*Resumen!$E$78)</f>
        <v>3.123639075316928E-2</v>
      </c>
      <c r="J151" s="3">
        <f>IF(H151&lt;Resumen!$C$18,Resumen!$C$10*Resumen!$C$13*(1+(Resumen!$C$16-1)*H151/Resumen!$C$18),IF(AND(H151&gt;=Resumen!$C$18,H151&lt;Resumen!$C$19),Resumen!$C$16*Resumen!$C$10*Resumen!$C$13,Resumen!$C$16*Resumen!$C$10*Resumen!$C$13*(Resumen!$C$19/H151)^Resumen!$C$17))</f>
        <v>0.20241181208053693</v>
      </c>
    </row>
    <row r="152" spans="8:10" x14ac:dyDescent="0.3">
      <c r="H152" s="3">
        <v>3</v>
      </c>
      <c r="I152" s="3">
        <f>J152*Resumen!$E$66/(MIN(Resumen!$I$60:$I$61)*Resumen!$E$77*Resumen!$E$78)</f>
        <v>3.1028148148148152E-2</v>
      </c>
      <c r="J152" s="3">
        <f>IF(H152&lt;Resumen!$C$18,Resumen!$C$10*Resumen!$C$13*(1+(Resumen!$C$16-1)*H152/Resumen!$C$18),IF(AND(H152&gt;=Resumen!$C$18,H152&lt;Resumen!$C$19),Resumen!$C$16*Resumen!$C$10*Resumen!$C$13,Resumen!$C$16*Resumen!$C$10*Resumen!$C$13*(Resumen!$C$19/H152)^Resumen!$C$17))</f>
        <v>0.20106240000000003</v>
      </c>
    </row>
    <row r="153" spans="8:10" x14ac:dyDescent="0.3">
      <c r="H153" s="3">
        <v>3.02</v>
      </c>
      <c r="I153" s="3">
        <f>J153*Resumen!$E$66/(MIN(Resumen!$I$60:$I$61)*Resumen!$E$77*Resumen!$E$78)</f>
        <v>3.0822663723325976E-2</v>
      </c>
      <c r="J153" s="3">
        <f>IF(H153&lt;Resumen!$C$18,Resumen!$C$10*Resumen!$C$13*(1+(Resumen!$C$16-1)*H153/Resumen!$C$18),IF(AND(H153&gt;=Resumen!$C$18,H153&lt;Resumen!$C$19),Resumen!$C$16*Resumen!$C$10*Resumen!$C$13,Resumen!$C$16*Resumen!$C$10*Resumen!$C$13*(Resumen!$C$19/H153)^Resumen!$C$17))</f>
        <v>0.19973086092715234</v>
      </c>
    </row>
    <row r="154" spans="8:10" x14ac:dyDescent="0.3">
      <c r="H154" s="3">
        <v>3.04</v>
      </c>
      <c r="I154" s="3">
        <f>J154*Resumen!$E$66/(MIN(Resumen!$I$60:$I$61)*Resumen!$E$77*Resumen!$E$78)</f>
        <v>3.0619883040935676E-2</v>
      </c>
      <c r="J154" s="3">
        <f>IF(H154&lt;Resumen!$C$18,Resumen!$C$10*Resumen!$C$13*(1+(Resumen!$C$16-1)*H154/Resumen!$C$18),IF(AND(H154&gt;=Resumen!$C$18,H154&lt;Resumen!$C$19),Resumen!$C$16*Resumen!$C$10*Resumen!$C$13,Resumen!$C$16*Resumen!$C$10*Resumen!$C$13*(Resumen!$C$19/H154)^Resumen!$C$17))</f>
        <v>0.1984168421052632</v>
      </c>
    </row>
    <row r="155" spans="8:10" x14ac:dyDescent="0.3">
      <c r="H155" s="3">
        <v>3.06</v>
      </c>
      <c r="I155" s="3">
        <f>J155*Resumen!$E$66/(MIN(Resumen!$I$60:$I$61)*Resumen!$E$77*Resumen!$E$78)</f>
        <v>3.0419753086419754E-2</v>
      </c>
      <c r="J155" s="3">
        <f>IF(H155&lt;Resumen!$C$18,Resumen!$C$10*Resumen!$C$13*(1+(Resumen!$C$16-1)*H155/Resumen!$C$18),IF(AND(H155&gt;=Resumen!$C$18,H155&lt;Resumen!$C$19),Resumen!$C$16*Resumen!$C$10*Resumen!$C$13,Resumen!$C$16*Resumen!$C$10*Resumen!$C$13*(Resumen!$C$19/H155)^Resumen!$C$17))</f>
        <v>0.19712000000000002</v>
      </c>
    </row>
    <row r="156" spans="8:10" x14ac:dyDescent="0.3">
      <c r="H156" s="3">
        <v>3.08</v>
      </c>
      <c r="I156" s="3">
        <f>J156*Resumen!$E$66/(MIN(Resumen!$I$60:$I$61)*Resumen!$E$77*Resumen!$E$78)</f>
        <v>3.0222222222222227E-2</v>
      </c>
      <c r="J156" s="3">
        <f>IF(H156&lt;Resumen!$C$18,Resumen!$C$10*Resumen!$C$13*(1+(Resumen!$C$16-1)*H156/Resumen!$C$18),IF(AND(H156&gt;=Resumen!$C$18,H156&lt;Resumen!$C$19),Resumen!$C$16*Resumen!$C$10*Resumen!$C$13,Resumen!$C$16*Resumen!$C$10*Resumen!$C$13*(Resumen!$C$19/H156)^Resumen!$C$17))</f>
        <v>0.19584000000000004</v>
      </c>
    </row>
    <row r="157" spans="8:10" x14ac:dyDescent="0.3">
      <c r="H157" s="3">
        <v>3.1</v>
      </c>
      <c r="I157" s="3">
        <f>J157*Resumen!$E$66/(MIN(Resumen!$I$60:$I$61)*Resumen!$E$77*Resumen!$E$78)</f>
        <v>3.0027240143369178E-2</v>
      </c>
      <c r="J157" s="3">
        <f>IF(H157&lt;Resumen!$C$18,Resumen!$C$10*Resumen!$C$13*(1+(Resumen!$C$16-1)*H157/Resumen!$C$18),IF(AND(H157&gt;=Resumen!$C$18,H157&lt;Resumen!$C$19),Resumen!$C$16*Resumen!$C$10*Resumen!$C$13,Resumen!$C$16*Resumen!$C$10*Resumen!$C$13*(Resumen!$C$19/H157)^Resumen!$C$17))</f>
        <v>0.19457651612903229</v>
      </c>
    </row>
    <row r="158" spans="8:10" x14ac:dyDescent="0.3">
      <c r="H158" s="3">
        <v>3.12</v>
      </c>
      <c r="I158" s="3">
        <f>J158*Resumen!$E$66/(MIN(Resumen!$I$60:$I$61)*Resumen!$E$77*Resumen!$E$78)</f>
        <v>2.9834757834757839E-2</v>
      </c>
      <c r="J158" s="3">
        <f>IF(H158&lt;Resumen!$C$18,Resumen!$C$10*Resumen!$C$13*(1+(Resumen!$C$16-1)*H158/Resumen!$C$18),IF(AND(H158&gt;=Resumen!$C$18,H158&lt;Resumen!$C$19),Resumen!$C$16*Resumen!$C$10*Resumen!$C$13,Resumen!$C$16*Resumen!$C$10*Resumen!$C$13*(Resumen!$C$19/H158)^Resumen!$C$17))</f>
        <v>0.19332923076923081</v>
      </c>
    </row>
    <row r="159" spans="8:10" x14ac:dyDescent="0.3">
      <c r="H159" s="3">
        <v>3.14</v>
      </c>
      <c r="I159" s="3">
        <f>J159*Resumen!$E$66/(MIN(Resumen!$I$60:$I$61)*Resumen!$E$77*Resumen!$E$78)</f>
        <v>2.9644727530077852E-2</v>
      </c>
      <c r="J159" s="3">
        <f>IF(H159&lt;Resumen!$C$18,Resumen!$C$10*Resumen!$C$13*(1+(Resumen!$C$16-1)*H159/Resumen!$C$18),IF(AND(H159&gt;=Resumen!$C$18,H159&lt;Resumen!$C$19),Resumen!$C$16*Resumen!$C$10*Resumen!$C$13,Resumen!$C$16*Resumen!$C$10*Resumen!$C$13*(Resumen!$C$19/H159)^Resumen!$C$17))</f>
        <v>0.19209783439490449</v>
      </c>
    </row>
    <row r="160" spans="8:10" x14ac:dyDescent="0.3">
      <c r="H160" s="3">
        <v>3.16</v>
      </c>
      <c r="I160" s="3">
        <f>J160*Resumen!$E$66/(MIN(Resumen!$I$60:$I$61)*Resumen!$E$77*Resumen!$E$78)</f>
        <v>2.9457102672292547E-2</v>
      </c>
      <c r="J160" s="3">
        <f>IF(H160&lt;Resumen!$C$18,Resumen!$C$10*Resumen!$C$13*(1+(Resumen!$C$16-1)*H160/Resumen!$C$18),IF(AND(H160&gt;=Resumen!$C$18,H160&lt;Resumen!$C$19),Resumen!$C$16*Resumen!$C$10*Resumen!$C$13,Resumen!$C$16*Resumen!$C$10*Resumen!$C$13*(Resumen!$C$19/H160)^Resumen!$C$17))</f>
        <v>0.19088202531645571</v>
      </c>
    </row>
    <row r="161" spans="8:10" x14ac:dyDescent="0.3">
      <c r="H161" s="3">
        <v>3.18</v>
      </c>
      <c r="I161" s="3">
        <f>J161*Resumen!$E$66/(MIN(Resumen!$I$60:$I$61)*Resumen!$E$77*Resumen!$E$78)</f>
        <v>2.927183787561146E-2</v>
      </c>
      <c r="J161" s="3">
        <f>IF(H161&lt;Resumen!$C$18,Resumen!$C$10*Resumen!$C$13*(1+(Resumen!$C$16-1)*H161/Resumen!$C$18),IF(AND(H161&gt;=Resumen!$C$18,H161&lt;Resumen!$C$19),Resumen!$C$16*Resumen!$C$10*Resumen!$C$13,Resumen!$C$16*Resumen!$C$10*Resumen!$C$13*(Resumen!$C$19/H161)^Resumen!$C$17))</f>
        <v>0.18968150943396228</v>
      </c>
    </row>
    <row r="162" spans="8:10" x14ac:dyDescent="0.3">
      <c r="H162" s="3">
        <v>3.2</v>
      </c>
      <c r="I162" s="3">
        <f>J162*Resumen!$E$66/(MIN(Resumen!$I$60:$I$61)*Resumen!$E$77*Resumen!$E$78)</f>
        <v>2.908888888888889E-2</v>
      </c>
      <c r="J162" s="3">
        <f>IF(H162&lt;Resumen!$C$18,Resumen!$C$10*Resumen!$C$13*(1+(Resumen!$C$16-1)*H162/Resumen!$C$18),IF(AND(H162&gt;=Resumen!$C$18,H162&lt;Resumen!$C$19),Resumen!$C$16*Resumen!$C$10*Resumen!$C$13,Resumen!$C$16*Resumen!$C$10*Resumen!$C$13*(Resumen!$C$19/H162)^Resumen!$C$17))</f>
        <v>0.18849600000000002</v>
      </c>
    </row>
    <row r="163" spans="8:10" x14ac:dyDescent="0.3">
      <c r="H163" s="3">
        <v>3.22</v>
      </c>
      <c r="I163" s="3">
        <f>J163*Resumen!$E$66/(MIN(Resumen!$I$60:$I$61)*Resumen!$E$77*Resumen!$E$78)</f>
        <v>2.8908212560386476E-2</v>
      </c>
      <c r="J163" s="3">
        <f>IF(H163&lt;Resumen!$C$18,Resumen!$C$10*Resumen!$C$13*(1+(Resumen!$C$16-1)*H163/Resumen!$C$18),IF(AND(H163&gt;=Resumen!$C$18,H163&lt;Resumen!$C$19),Resumen!$C$16*Resumen!$C$10*Resumen!$C$13,Resumen!$C$16*Resumen!$C$10*Resumen!$C$13*(Resumen!$C$19/H163)^Resumen!$C$17))</f>
        <v>0.18732521739130437</v>
      </c>
    </row>
    <row r="164" spans="8:10" x14ac:dyDescent="0.3">
      <c r="H164" s="3">
        <v>3.24</v>
      </c>
      <c r="I164" s="3">
        <f>J164*Resumen!$E$66/(MIN(Resumen!$I$60:$I$61)*Resumen!$E$77*Resumen!$E$78)</f>
        <v>2.872976680384088E-2</v>
      </c>
      <c r="J164" s="3">
        <f>IF(H164&lt;Resumen!$C$18,Resumen!$C$10*Resumen!$C$13*(1+(Resumen!$C$16-1)*H164/Resumen!$C$18),IF(AND(H164&gt;=Resumen!$C$18,H164&lt;Resumen!$C$19),Resumen!$C$16*Resumen!$C$10*Resumen!$C$13,Resumen!$C$16*Resumen!$C$10*Resumen!$C$13*(Resumen!$C$19/H164)^Resumen!$C$17))</f>
        <v>0.18616888888888891</v>
      </c>
    </row>
    <row r="165" spans="8:10" x14ac:dyDescent="0.3">
      <c r="H165" s="3">
        <v>3.26</v>
      </c>
      <c r="I165" s="3">
        <f>J165*Resumen!$E$66/(MIN(Resumen!$I$60:$I$61)*Resumen!$E$77*Resumen!$E$78)</f>
        <v>2.855351056578051E-2</v>
      </c>
      <c r="J165" s="3">
        <f>IF(H165&lt;Resumen!$C$18,Resumen!$C$10*Resumen!$C$13*(1+(Resumen!$C$16-1)*H165/Resumen!$C$18),IF(AND(H165&gt;=Resumen!$C$18,H165&lt;Resumen!$C$19),Resumen!$C$16*Resumen!$C$10*Resumen!$C$13,Resumen!$C$16*Resumen!$C$10*Resumen!$C$13*(Resumen!$C$19/H165)^Resumen!$C$17))</f>
        <v>0.18502674846625772</v>
      </c>
    </row>
    <row r="166" spans="8:10" x14ac:dyDescent="0.3">
      <c r="H166" s="3">
        <v>3.28</v>
      </c>
      <c r="I166" s="3">
        <f>J166*Resumen!$E$66/(MIN(Resumen!$I$60:$I$61)*Resumen!$E$77*Resumen!$E$78)</f>
        <v>2.8379403794037951E-2</v>
      </c>
      <c r="J166" s="3">
        <f>IF(H166&lt;Resumen!$C$18,Resumen!$C$10*Resumen!$C$13*(1+(Resumen!$C$16-1)*H166/Resumen!$C$18),IF(AND(H166&gt;=Resumen!$C$18,H166&lt;Resumen!$C$19),Resumen!$C$16*Resumen!$C$10*Resumen!$C$13,Resumen!$C$16*Resumen!$C$10*Resumen!$C$13*(Resumen!$C$19/H166)^Resumen!$C$17))</f>
        <v>0.18389853658536592</v>
      </c>
    </row>
    <row r="167" spans="8:10" x14ac:dyDescent="0.3">
      <c r="H167" s="3">
        <v>3.3</v>
      </c>
      <c r="I167" s="3">
        <f>J167*Resumen!$E$66/(MIN(Resumen!$I$60:$I$61)*Resumen!$E$77*Resumen!$E$78)</f>
        <v>2.820740740740741E-2</v>
      </c>
      <c r="J167" s="3">
        <f>IF(H167&lt;Resumen!$C$18,Resumen!$C$10*Resumen!$C$13*(1+(Resumen!$C$16-1)*H167/Resumen!$C$18),IF(AND(H167&gt;=Resumen!$C$18,H167&lt;Resumen!$C$19),Resumen!$C$16*Resumen!$C$10*Resumen!$C$13,Resumen!$C$16*Resumen!$C$10*Resumen!$C$13*(Resumen!$C$19/H167)^Resumen!$C$17))</f>
        <v>0.18278400000000003</v>
      </c>
    </row>
    <row r="168" spans="8:10" x14ac:dyDescent="0.3">
      <c r="H168" s="3">
        <v>3.32</v>
      </c>
      <c r="I168" s="3">
        <f>J168*Resumen!$E$66/(MIN(Resumen!$I$60:$I$61)*Resumen!$E$77*Resumen!$E$78)</f>
        <v>2.8037483266398933E-2</v>
      </c>
      <c r="J168" s="3">
        <f>IF(H168&lt;Resumen!$C$18,Resumen!$C$10*Resumen!$C$13*(1+(Resumen!$C$16-1)*H168/Resumen!$C$18),IF(AND(H168&gt;=Resumen!$C$18,H168&lt;Resumen!$C$19),Resumen!$C$16*Resumen!$C$10*Resumen!$C$13,Resumen!$C$16*Resumen!$C$10*Resumen!$C$13*(Resumen!$C$19/H168)^Resumen!$C$17))</f>
        <v>0.1816828915662651</v>
      </c>
    </row>
    <row r="169" spans="8:10" x14ac:dyDescent="0.3">
      <c r="H169" s="3">
        <v>3.34</v>
      </c>
      <c r="I169" s="3">
        <f>J169*Resumen!$E$66/(MIN(Resumen!$I$60:$I$61)*Resumen!$E$77*Resumen!$E$78)</f>
        <v>2.7869594145043249E-2</v>
      </c>
      <c r="J169" s="3">
        <f>IF(H169&lt;Resumen!$C$18,Resumen!$C$10*Resumen!$C$13*(1+(Resumen!$C$16-1)*H169/Resumen!$C$18),IF(AND(H169&gt;=Resumen!$C$18,H169&lt;Resumen!$C$19),Resumen!$C$16*Resumen!$C$10*Resumen!$C$13,Resumen!$C$16*Resumen!$C$10*Resumen!$C$13*(Resumen!$C$19/H169)^Resumen!$C$17))</f>
        <v>0.18059497005988026</v>
      </c>
    </row>
    <row r="170" spans="8:10" x14ac:dyDescent="0.3">
      <c r="H170" s="3">
        <v>3.36</v>
      </c>
      <c r="I170" s="3">
        <f>J170*Resumen!$E$66/(MIN(Resumen!$I$60:$I$61)*Resumen!$E$77*Resumen!$E$78)</f>
        <v>2.770370370370371E-2</v>
      </c>
      <c r="J170" s="3">
        <f>IF(H170&lt;Resumen!$C$18,Resumen!$C$10*Resumen!$C$13*(1+(Resumen!$C$16-1)*H170/Resumen!$C$18),IF(AND(H170&gt;=Resumen!$C$18,H170&lt;Resumen!$C$19),Resumen!$C$16*Resumen!$C$10*Resumen!$C$13,Resumen!$C$16*Resumen!$C$10*Resumen!$C$13*(Resumen!$C$19/H170)^Resumen!$C$17))</f>
        <v>0.17952000000000004</v>
      </c>
    </row>
    <row r="171" spans="8:10" x14ac:dyDescent="0.3">
      <c r="H171" s="3">
        <v>3.38</v>
      </c>
      <c r="I171" s="3">
        <f>J171*Resumen!$E$66/(MIN(Resumen!$I$60:$I$61)*Resumen!$E$77*Resumen!$E$78)</f>
        <v>2.7539776462853393E-2</v>
      </c>
      <c r="J171" s="3">
        <f>IF(H171&lt;Resumen!$C$18,Resumen!$C$10*Resumen!$C$13*(1+(Resumen!$C$16-1)*H171/Resumen!$C$18),IF(AND(H171&gt;=Resumen!$C$18,H171&lt;Resumen!$C$19),Resumen!$C$16*Resumen!$C$10*Resumen!$C$13,Resumen!$C$16*Resumen!$C$10*Resumen!$C$13*(Resumen!$C$19/H171)^Resumen!$C$17))</f>
        <v>0.17845775147928999</v>
      </c>
    </row>
    <row r="172" spans="8:10" x14ac:dyDescent="0.3">
      <c r="H172" s="3">
        <v>3.4</v>
      </c>
      <c r="I172" s="3">
        <f>J172*Resumen!$E$66/(MIN(Resumen!$I$60:$I$61)*Resumen!$E$77*Resumen!$E$78)</f>
        <v>2.7377777777777782E-2</v>
      </c>
      <c r="J172" s="3">
        <f>IF(H172&lt;Resumen!$C$18,Resumen!$C$10*Resumen!$C$13*(1+(Resumen!$C$16-1)*H172/Resumen!$C$18),IF(AND(H172&gt;=Resumen!$C$18,H172&lt;Resumen!$C$19),Resumen!$C$16*Resumen!$C$10*Resumen!$C$13,Resumen!$C$16*Resumen!$C$10*Resumen!$C$13*(Resumen!$C$19/H172)^Resumen!$C$17))</f>
        <v>0.17740800000000004</v>
      </c>
    </row>
    <row r="173" spans="8:10" x14ac:dyDescent="0.3">
      <c r="H173" s="3">
        <v>3.42</v>
      </c>
      <c r="I173" s="3">
        <f>J173*Resumen!$E$66/(MIN(Resumen!$I$60:$I$61)*Resumen!$E$77*Resumen!$E$78)</f>
        <v>2.7217673814165046E-2</v>
      </c>
      <c r="J173" s="3">
        <f>IF(H173&lt;Resumen!$C$18,Resumen!$C$10*Resumen!$C$13*(1+(Resumen!$C$16-1)*H173/Resumen!$C$18),IF(AND(H173&gt;=Resumen!$C$18,H173&lt;Resumen!$C$19),Resumen!$C$16*Resumen!$C$10*Resumen!$C$13,Resumen!$C$16*Resumen!$C$10*Resumen!$C$13*(Resumen!$C$19/H173)^Resumen!$C$17))</f>
        <v>0.17637052631578951</v>
      </c>
    </row>
    <row r="174" spans="8:10" x14ac:dyDescent="0.3">
      <c r="H174" s="3">
        <v>3.44</v>
      </c>
      <c r="I174" s="3">
        <f>J174*Resumen!$E$66/(MIN(Resumen!$I$60:$I$61)*Resumen!$E$77*Resumen!$E$78)</f>
        <v>2.7059431524547806E-2</v>
      </c>
      <c r="J174" s="3">
        <f>IF(H174&lt;Resumen!$C$18,Resumen!$C$10*Resumen!$C$13*(1+(Resumen!$C$16-1)*H174/Resumen!$C$18),IF(AND(H174&gt;=Resumen!$C$18,H174&lt;Resumen!$C$19),Resumen!$C$16*Resumen!$C$10*Resumen!$C$13,Resumen!$C$16*Resumen!$C$10*Resumen!$C$13*(Resumen!$C$19/H174)^Resumen!$C$17))</f>
        <v>0.17534511627906979</v>
      </c>
    </row>
    <row r="175" spans="8:10" x14ac:dyDescent="0.3">
      <c r="H175" s="3">
        <v>3.46</v>
      </c>
      <c r="I175" s="3">
        <f>J175*Resumen!$E$66/(MIN(Resumen!$I$60:$I$61)*Resumen!$E$77*Resumen!$E$78)</f>
        <v>2.6903018625561985E-2</v>
      </c>
      <c r="J175" s="3">
        <f>IF(H175&lt;Resumen!$C$18,Resumen!$C$10*Resumen!$C$13*(1+(Resumen!$C$16-1)*H175/Resumen!$C$18),IF(AND(H175&gt;=Resumen!$C$18,H175&lt;Resumen!$C$19),Resumen!$C$16*Resumen!$C$10*Resumen!$C$13,Resumen!$C$16*Resumen!$C$10*Resumen!$C$13*(Resumen!$C$19/H175)^Resumen!$C$17))</f>
        <v>0.17433156069364167</v>
      </c>
    </row>
    <row r="176" spans="8:10" x14ac:dyDescent="0.3">
      <c r="H176" s="3">
        <v>3.48</v>
      </c>
      <c r="I176" s="3">
        <f>J176*Resumen!$E$66/(MIN(Resumen!$I$60:$I$61)*Resumen!$E$77*Resumen!$E$78)</f>
        <v>2.6748403575989788E-2</v>
      </c>
      <c r="J176" s="3">
        <f>IF(H176&lt;Resumen!$C$18,Resumen!$C$10*Resumen!$C$13*(1+(Resumen!$C$16-1)*H176/Resumen!$C$18),IF(AND(H176&gt;=Resumen!$C$18,H176&lt;Resumen!$C$19),Resumen!$C$16*Resumen!$C$10*Resumen!$C$13,Resumen!$C$16*Resumen!$C$10*Resumen!$C$13*(Resumen!$C$19/H176)^Resumen!$C$17))</f>
        <v>0.17332965517241383</v>
      </c>
    </row>
    <row r="177" spans="8:10" x14ac:dyDescent="0.3">
      <c r="H177" s="3">
        <v>3.5</v>
      </c>
      <c r="I177" s="3">
        <f>J177*Resumen!$E$66/(MIN(Resumen!$I$60:$I$61)*Resumen!$E$77*Resumen!$E$78)</f>
        <v>2.6595555555555556E-2</v>
      </c>
      <c r="J177" s="3">
        <f>IF(H177&lt;Resumen!$C$18,Resumen!$C$10*Resumen!$C$13*(1+(Resumen!$C$16-1)*H177/Resumen!$C$18),IF(AND(H177&gt;=Resumen!$C$18,H177&lt;Resumen!$C$19),Resumen!$C$16*Resumen!$C$10*Resumen!$C$13,Resumen!$C$16*Resumen!$C$10*Resumen!$C$13*(Resumen!$C$19/H177)^Resumen!$C$17))</f>
        <v>0.17233920000000003</v>
      </c>
    </row>
    <row r="178" spans="8:10" x14ac:dyDescent="0.3">
      <c r="H178" s="3">
        <v>3.52</v>
      </c>
      <c r="I178" s="3">
        <f>J178*Resumen!$E$66/(MIN(Resumen!$I$60:$I$61)*Resumen!$E$77*Resumen!$E$78)</f>
        <v>2.6444444444444444E-2</v>
      </c>
      <c r="J178" s="3">
        <f>IF(H178&lt;Resumen!$C$18,Resumen!$C$10*Resumen!$C$13*(1+(Resumen!$C$16-1)*H178/Resumen!$C$18),IF(AND(H178&gt;=Resumen!$C$18,H178&lt;Resumen!$C$19),Resumen!$C$16*Resumen!$C$10*Resumen!$C$13,Resumen!$C$16*Resumen!$C$10*Resumen!$C$13*(Resumen!$C$19/H178)^Resumen!$C$17))</f>
        <v>0.17136000000000001</v>
      </c>
    </row>
    <row r="179" spans="8:10" x14ac:dyDescent="0.3">
      <c r="H179" s="3">
        <v>3.54</v>
      </c>
      <c r="I179" s="3">
        <f>J179*Resumen!$E$66/(MIN(Resumen!$I$60:$I$61)*Resumen!$E$77*Resumen!$E$78)</f>
        <v>2.6295040803515385E-2</v>
      </c>
      <c r="J179" s="3">
        <f>IF(H179&lt;Resumen!$C$18,Resumen!$C$10*Resumen!$C$13*(1+(Resumen!$C$16-1)*H179/Resumen!$C$18),IF(AND(H179&gt;=Resumen!$C$18,H179&lt;Resumen!$C$19),Resumen!$C$16*Resumen!$C$10*Resumen!$C$13,Resumen!$C$16*Resumen!$C$10*Resumen!$C$13*(Resumen!$C$19/H179)^Resumen!$C$17))</f>
        <v>0.1703918644067797</v>
      </c>
    </row>
    <row r="180" spans="8:10" x14ac:dyDescent="0.3">
      <c r="H180" s="3">
        <v>3.56</v>
      </c>
      <c r="I180" s="3">
        <f>J180*Resumen!$E$66/(MIN(Resumen!$I$60:$I$61)*Resumen!$E$77*Resumen!$E$78)</f>
        <v>2.6147315855181028E-2</v>
      </c>
      <c r="J180" s="3">
        <f>IF(H180&lt;Resumen!$C$18,Resumen!$C$10*Resumen!$C$13*(1+(Resumen!$C$16-1)*H180/Resumen!$C$18),IF(AND(H180&gt;=Resumen!$C$18,H180&lt;Resumen!$C$19),Resumen!$C$16*Resumen!$C$10*Resumen!$C$13,Resumen!$C$16*Resumen!$C$10*Resumen!$C$13*(Resumen!$C$19/H180)^Resumen!$C$17))</f>
        <v>0.16943460674157307</v>
      </c>
    </row>
    <row r="181" spans="8:10" x14ac:dyDescent="0.3">
      <c r="H181" s="3">
        <v>3.58</v>
      </c>
      <c r="I181" s="3">
        <f>J181*Resumen!$E$66/(MIN(Resumen!$I$60:$I$61)*Resumen!$E$77*Resumen!$E$78)</f>
        <v>2.6001241464928621E-2</v>
      </c>
      <c r="J181" s="3">
        <f>IF(H181&lt;Resumen!$C$18,Resumen!$C$10*Resumen!$C$13*(1+(Resumen!$C$16-1)*H181/Resumen!$C$18),IF(AND(H181&gt;=Resumen!$C$18,H181&lt;Resumen!$C$19),Resumen!$C$16*Resumen!$C$10*Resumen!$C$13,Resumen!$C$16*Resumen!$C$10*Resumen!$C$13*(Resumen!$C$19/H181)^Resumen!$C$17))</f>
        <v>0.16848804469273748</v>
      </c>
    </row>
    <row r="182" spans="8:10" x14ac:dyDescent="0.3">
      <c r="H182" s="3">
        <v>3.6</v>
      </c>
      <c r="I182" s="3">
        <f>J182*Resumen!$E$66/(MIN(Resumen!$I$60:$I$61)*Resumen!$E$77*Resumen!$E$78)</f>
        <v>2.5856790123456794E-2</v>
      </c>
      <c r="J182" s="3">
        <f>IF(H182&lt;Resumen!$C$18,Resumen!$C$10*Resumen!$C$13*(1+(Resumen!$C$16-1)*H182/Resumen!$C$18),IF(AND(H182&gt;=Resumen!$C$18,H182&lt;Resumen!$C$19),Resumen!$C$16*Resumen!$C$10*Resumen!$C$13,Resumen!$C$16*Resumen!$C$10*Resumen!$C$13*(Resumen!$C$19/H182)^Resumen!$C$17))</f>
        <v>0.16755200000000003</v>
      </c>
    </row>
    <row r="183" spans="8:10" x14ac:dyDescent="0.3">
      <c r="H183" s="3">
        <v>3.62</v>
      </c>
      <c r="I183" s="3">
        <f>J183*Resumen!$E$66/(MIN(Resumen!$I$60:$I$61)*Resumen!$E$77*Resumen!$E$78)</f>
        <v>2.5713934929404547E-2</v>
      </c>
      <c r="J183" s="3">
        <f>IF(H183&lt;Resumen!$C$18,Resumen!$C$10*Resumen!$C$13*(1+(Resumen!$C$16-1)*H183/Resumen!$C$18),IF(AND(H183&gt;=Resumen!$C$18,H183&lt;Resumen!$C$19),Resumen!$C$16*Resumen!$C$10*Resumen!$C$13,Resumen!$C$16*Resumen!$C$10*Resumen!$C$13*(Resumen!$C$19/H183)^Resumen!$C$17))</f>
        <v>0.16662629834254147</v>
      </c>
    </row>
    <row r="184" spans="8:10" x14ac:dyDescent="0.3">
      <c r="H184" s="3">
        <v>3.64</v>
      </c>
      <c r="I184" s="3">
        <f>J184*Resumen!$E$66/(MIN(Resumen!$I$60:$I$61)*Resumen!$E$77*Resumen!$E$78)</f>
        <v>2.5572649572649576E-2</v>
      </c>
      <c r="J184" s="3">
        <f>IF(H184&lt;Resumen!$C$18,Resumen!$C$10*Resumen!$C$13*(1+(Resumen!$C$16-1)*H184/Resumen!$C$18),IF(AND(H184&gt;=Resumen!$C$18,H184&lt;Resumen!$C$19),Resumen!$C$16*Resumen!$C$10*Resumen!$C$13,Resumen!$C$16*Resumen!$C$10*Resumen!$C$13*(Resumen!$C$19/H184)^Resumen!$C$17))</f>
        <v>0.16571076923076927</v>
      </c>
    </row>
    <row r="185" spans="8:10" x14ac:dyDescent="0.3">
      <c r="H185" s="3">
        <v>3.66</v>
      </c>
      <c r="I185" s="3">
        <f>J185*Resumen!$E$66/(MIN(Resumen!$I$60:$I$61)*Resumen!$E$77*Resumen!$E$78)</f>
        <v>2.5432908318154222E-2</v>
      </c>
      <c r="J185" s="3">
        <f>IF(H185&lt;Resumen!$C$18,Resumen!$C$10*Resumen!$C$13*(1+(Resumen!$C$16-1)*H185/Resumen!$C$18),IF(AND(H185&gt;=Resumen!$C$18,H185&lt;Resumen!$C$19),Resumen!$C$16*Resumen!$C$10*Resumen!$C$13,Resumen!$C$16*Resumen!$C$10*Resumen!$C$13*(Resumen!$C$19/H185)^Resumen!$C$17))</f>
        <v>0.16480524590163936</v>
      </c>
    </row>
    <row r="186" spans="8:10" x14ac:dyDescent="0.3">
      <c r="H186" s="3">
        <v>3.68</v>
      </c>
      <c r="I186" s="3">
        <f>J186*Resumen!$E$66/(MIN(Resumen!$I$60:$I$61)*Resumen!$E$77*Resumen!$E$78)</f>
        <v>2.5294685990338166E-2</v>
      </c>
      <c r="J186" s="3">
        <f>IF(H186&lt;Resumen!$C$18,Resumen!$C$10*Resumen!$C$13*(1+(Resumen!$C$16-1)*H186/Resumen!$C$18),IF(AND(H186&gt;=Resumen!$C$18,H186&lt;Resumen!$C$19),Resumen!$C$16*Resumen!$C$10*Resumen!$C$13,Resumen!$C$16*Resumen!$C$10*Resumen!$C$13*(Resumen!$C$19/H186)^Resumen!$C$17))</f>
        <v>0.16390956521739133</v>
      </c>
    </row>
    <row r="187" spans="8:10" x14ac:dyDescent="0.3">
      <c r="H187" s="3">
        <v>3.7</v>
      </c>
      <c r="I187" s="3">
        <f>J187*Resumen!$E$66/(MIN(Resumen!$I$60:$I$61)*Resumen!$E$77*Resumen!$E$78)</f>
        <v>2.5157957957957958E-2</v>
      </c>
      <c r="J187" s="3">
        <f>IF(H187&lt;Resumen!$C$18,Resumen!$C$10*Resumen!$C$13*(1+(Resumen!$C$16-1)*H187/Resumen!$C$18),IF(AND(H187&gt;=Resumen!$C$18,H187&lt;Resumen!$C$19),Resumen!$C$16*Resumen!$C$10*Resumen!$C$13,Resumen!$C$16*Resumen!$C$10*Resumen!$C$13*(Resumen!$C$19/H187)^Resumen!$C$17))</f>
        <v>0.16302356756756758</v>
      </c>
    </row>
    <row r="188" spans="8:10" x14ac:dyDescent="0.3">
      <c r="H188" s="3">
        <v>3.72</v>
      </c>
      <c r="I188" s="3">
        <f>J188*Resumen!$E$66/(MIN(Resumen!$I$60:$I$61)*Resumen!$E$77*Resumen!$E$78)</f>
        <v>2.5022700119474314E-2</v>
      </c>
      <c r="J188" s="3">
        <f>IF(H188&lt;Resumen!$C$18,Resumen!$C$10*Resumen!$C$13*(1+(Resumen!$C$16-1)*H188/Resumen!$C$18),IF(AND(H188&gt;=Resumen!$C$18,H188&lt;Resumen!$C$19),Resumen!$C$16*Resumen!$C$10*Resumen!$C$13,Resumen!$C$16*Resumen!$C$10*Resumen!$C$13*(Resumen!$C$19/H188)^Resumen!$C$17))</f>
        <v>0.16214709677419356</v>
      </c>
    </row>
    <row r="189" spans="8:10" x14ac:dyDescent="0.3">
      <c r="H189" s="3">
        <v>3.74</v>
      </c>
      <c r="I189" s="3">
        <f>J189*Resumen!$E$66/(MIN(Resumen!$I$60:$I$61)*Resumen!$E$77*Resumen!$E$78)</f>
        <v>2.4888888888888891E-2</v>
      </c>
      <c r="J189" s="3">
        <f>IF(H189&lt;Resumen!$C$18,Resumen!$C$10*Resumen!$C$13*(1+(Resumen!$C$16-1)*H189/Resumen!$C$18),IF(AND(H189&gt;=Resumen!$C$18,H189&lt;Resumen!$C$19),Resumen!$C$16*Resumen!$C$10*Resumen!$C$13,Resumen!$C$16*Resumen!$C$10*Resumen!$C$13*(Resumen!$C$19/H189)^Resumen!$C$17))</f>
        <v>0.16128000000000003</v>
      </c>
    </row>
    <row r="190" spans="8:10" x14ac:dyDescent="0.3">
      <c r="H190" s="3">
        <v>3.76</v>
      </c>
      <c r="I190" s="3">
        <f>J190*Resumen!$E$66/(MIN(Resumen!$I$60:$I$61)*Resumen!$E$77*Resumen!$E$78)</f>
        <v>2.4756501182033101E-2</v>
      </c>
      <c r="J190" s="3">
        <f>IF(H190&lt;Resumen!$C$18,Resumen!$C$10*Resumen!$C$13*(1+(Resumen!$C$16-1)*H190/Resumen!$C$18),IF(AND(H190&gt;=Resumen!$C$18,H190&lt;Resumen!$C$19),Resumen!$C$16*Resumen!$C$10*Resumen!$C$13,Resumen!$C$16*Resumen!$C$10*Resumen!$C$13*(Resumen!$C$19/H190)^Resumen!$C$17))</f>
        <v>0.1604221276595745</v>
      </c>
    </row>
    <row r="191" spans="8:10" x14ac:dyDescent="0.3">
      <c r="H191" s="3">
        <v>3.78</v>
      </c>
      <c r="I191" s="3">
        <f>J191*Resumen!$E$66/(MIN(Resumen!$I$60:$I$61)*Resumen!$E$77*Resumen!$E$78)</f>
        <v>2.4625514403292185E-2</v>
      </c>
      <c r="J191" s="3">
        <f>IF(H191&lt;Resumen!$C$18,Resumen!$C$10*Resumen!$C$13*(1+(Resumen!$C$16-1)*H191/Resumen!$C$18),IF(AND(H191&gt;=Resumen!$C$18,H191&lt;Resumen!$C$19),Resumen!$C$16*Resumen!$C$10*Resumen!$C$13,Resumen!$C$16*Resumen!$C$10*Resumen!$C$13*(Resumen!$C$19/H191)^Resumen!$C$17))</f>
        <v>0.15957333333333337</v>
      </c>
    </row>
    <row r="192" spans="8:10" x14ac:dyDescent="0.3">
      <c r="H192" s="3">
        <v>3.8</v>
      </c>
      <c r="I192" s="3">
        <f>J192*Resumen!$E$66/(MIN(Resumen!$I$60:$I$61)*Resumen!$E$77*Resumen!$E$78)</f>
        <v>2.4495906432748543E-2</v>
      </c>
      <c r="J192" s="3">
        <f>IF(H192&lt;Resumen!$C$18,Resumen!$C$10*Resumen!$C$13*(1+(Resumen!$C$16-1)*H192/Resumen!$C$18),IF(AND(H192&gt;=Resumen!$C$18,H192&lt;Resumen!$C$19),Resumen!$C$16*Resumen!$C$10*Resumen!$C$13,Resumen!$C$16*Resumen!$C$10*Resumen!$C$13*(Resumen!$C$19/H192)^Resumen!$C$17))</f>
        <v>0.15873347368421056</v>
      </c>
    </row>
    <row r="193" spans="8:10" x14ac:dyDescent="0.3">
      <c r="H193" s="3">
        <v>3.82</v>
      </c>
      <c r="I193" s="3">
        <f>J193*Resumen!$E$66/(MIN(Resumen!$I$60:$I$61)*Resumen!$E$77*Resumen!$E$78)</f>
        <v>2.4367655613728917E-2</v>
      </c>
      <c r="J193" s="3">
        <f>IF(H193&lt;Resumen!$C$18,Resumen!$C$10*Resumen!$C$13*(1+(Resumen!$C$16-1)*H193/Resumen!$C$18),IF(AND(H193&gt;=Resumen!$C$18,H193&lt;Resumen!$C$19),Resumen!$C$16*Resumen!$C$10*Resumen!$C$13,Resumen!$C$16*Resumen!$C$10*Resumen!$C$13*(Resumen!$C$19/H193)^Resumen!$C$17))</f>
        <v>0.1579024083769634</v>
      </c>
    </row>
    <row r="194" spans="8:10" x14ac:dyDescent="0.3">
      <c r="H194" s="3">
        <v>3.84</v>
      </c>
      <c r="I194" s="3">
        <f>J194*Resumen!$E$66/(MIN(Resumen!$I$60:$I$61)*Resumen!$E$77*Resumen!$E$78)</f>
        <v>2.4240740740740747E-2</v>
      </c>
      <c r="J194" s="3">
        <f>IF(H194&lt;Resumen!$C$18,Resumen!$C$10*Resumen!$C$13*(1+(Resumen!$C$16-1)*H194/Resumen!$C$18),IF(AND(H194&gt;=Resumen!$C$18,H194&lt;Resumen!$C$19),Resumen!$C$16*Resumen!$C$10*Resumen!$C$13,Resumen!$C$16*Resumen!$C$10*Resumen!$C$13*(Resumen!$C$19/H194)^Resumen!$C$17))</f>
        <v>0.15708000000000005</v>
      </c>
    </row>
    <row r="195" spans="8:10" x14ac:dyDescent="0.3">
      <c r="H195" s="3">
        <v>3.86</v>
      </c>
      <c r="I195" s="3">
        <f>J195*Resumen!$E$66/(MIN(Resumen!$I$60:$I$61)*Resumen!$E$77*Resumen!$E$78)</f>
        <v>2.4115141047783537E-2</v>
      </c>
      <c r="J195" s="3">
        <f>IF(H195&lt;Resumen!$C$18,Resumen!$C$10*Resumen!$C$13*(1+(Resumen!$C$16-1)*H195/Resumen!$C$18),IF(AND(H195&gt;=Resumen!$C$18,H195&lt;Resumen!$C$19),Resumen!$C$16*Resumen!$C$10*Resumen!$C$13,Resumen!$C$16*Resumen!$C$10*Resumen!$C$13*(Resumen!$C$19/H195)^Resumen!$C$17))</f>
        <v>0.15626611398963733</v>
      </c>
    </row>
    <row r="196" spans="8:10" x14ac:dyDescent="0.3">
      <c r="H196" s="3">
        <v>3.88</v>
      </c>
      <c r="I196" s="3">
        <f>J196*Resumen!$E$66/(MIN(Resumen!$I$60:$I$61)*Resumen!$E$77*Resumen!$E$78)</f>
        <v>2.3990836197021768E-2</v>
      </c>
      <c r="J196" s="3">
        <f>IF(H196&lt;Resumen!$C$18,Resumen!$C$10*Resumen!$C$13*(1+(Resumen!$C$16-1)*H196/Resumen!$C$18),IF(AND(H196&gt;=Resumen!$C$18,H196&lt;Resumen!$C$19),Resumen!$C$16*Resumen!$C$10*Resumen!$C$13,Resumen!$C$16*Resumen!$C$10*Resumen!$C$13*(Resumen!$C$19/H196)^Resumen!$C$17))</f>
        <v>0.15546061855670107</v>
      </c>
    </row>
    <row r="197" spans="8:10" x14ac:dyDescent="0.3">
      <c r="H197" s="3">
        <v>3.9</v>
      </c>
      <c r="I197" s="3">
        <f>J197*Resumen!$E$66/(MIN(Resumen!$I$60:$I$61)*Resumen!$E$77*Resumen!$E$78)</f>
        <v>2.3867806267806272E-2</v>
      </c>
      <c r="J197" s="3">
        <f>IF(H197&lt;Resumen!$C$18,Resumen!$C$10*Resumen!$C$13*(1+(Resumen!$C$16-1)*H197/Resumen!$C$18),IF(AND(H197&gt;=Resumen!$C$18,H197&lt;Resumen!$C$19),Resumen!$C$16*Resumen!$C$10*Resumen!$C$13,Resumen!$C$16*Resumen!$C$10*Resumen!$C$13*(Resumen!$C$19/H197)^Resumen!$C$17))</f>
        <v>0.15466338461538465</v>
      </c>
    </row>
    <row r="198" spans="8:10" x14ac:dyDescent="0.3">
      <c r="H198" s="3">
        <v>3.92</v>
      </c>
      <c r="I198" s="3">
        <f>J198*Resumen!$E$66/(MIN(Resumen!$I$60:$I$61)*Resumen!$E$77*Resumen!$E$78)</f>
        <v>2.3746031746031748E-2</v>
      </c>
      <c r="J198" s="3">
        <f>IF(H198&lt;Resumen!$C$18,Resumen!$C$10*Resumen!$C$13*(1+(Resumen!$C$16-1)*H198/Resumen!$C$18),IF(AND(H198&gt;=Resumen!$C$18,H198&lt;Resumen!$C$19),Resumen!$C$16*Resumen!$C$10*Resumen!$C$13,Resumen!$C$16*Resumen!$C$10*Resumen!$C$13*(Resumen!$C$19/H198)^Resumen!$C$17))</f>
        <v>0.15387428571428574</v>
      </c>
    </row>
    <row r="199" spans="8:10" x14ac:dyDescent="0.3">
      <c r="H199" s="3">
        <v>3.94</v>
      </c>
      <c r="I199" s="3">
        <f>J199*Resumen!$E$66/(MIN(Resumen!$I$60:$I$61)*Resumen!$E$77*Resumen!$E$78)</f>
        <v>2.3625493513818391E-2</v>
      </c>
      <c r="J199" s="3">
        <f>IF(H199&lt;Resumen!$C$18,Resumen!$C$10*Resumen!$C$13*(1+(Resumen!$C$16-1)*H199/Resumen!$C$18),IF(AND(H199&gt;=Resumen!$C$18,H199&lt;Resumen!$C$19),Resumen!$C$16*Resumen!$C$10*Resumen!$C$13,Resumen!$C$16*Resumen!$C$10*Resumen!$C$13*(Resumen!$C$19/H199)^Resumen!$C$17))</f>
        <v>0.15309319796954318</v>
      </c>
    </row>
    <row r="200" spans="8:10" x14ac:dyDescent="0.3">
      <c r="H200" s="3">
        <v>3.96</v>
      </c>
      <c r="I200" s="3">
        <f>J200*Resumen!$E$66/(MIN(Resumen!$I$60:$I$61)*Resumen!$E$77*Resumen!$E$78)</f>
        <v>2.3506172839506179E-2</v>
      </c>
      <c r="J200" s="3">
        <f>IF(H200&lt;Resumen!$C$18,Resumen!$C$10*Resumen!$C$13*(1+(Resumen!$C$16-1)*H200/Resumen!$C$18),IF(AND(H200&gt;=Resumen!$C$18,H200&lt;Resumen!$C$19),Resumen!$C$16*Resumen!$C$10*Resumen!$C$13,Resumen!$C$16*Resumen!$C$10*Resumen!$C$13*(Resumen!$C$19/H200)^Resumen!$C$17))</f>
        <v>0.15232000000000004</v>
      </c>
    </row>
    <row r="201" spans="8:10" x14ac:dyDescent="0.3">
      <c r="H201" s="3">
        <v>3.98</v>
      </c>
      <c r="I201" s="3">
        <f>J201*Resumen!$E$66/(MIN(Resumen!$I$60:$I$61)*Resumen!$E$77*Resumen!$E$78)</f>
        <v>2.3388051367950868E-2</v>
      </c>
      <c r="J201" s="3">
        <f>IF(H201&lt;Resumen!$C$18,Resumen!$C$10*Resumen!$C$13*(1+(Resumen!$C$16-1)*H201/Resumen!$C$18),IF(AND(H201&gt;=Resumen!$C$18,H201&lt;Resumen!$C$19),Resumen!$C$16*Resumen!$C$10*Resumen!$C$13,Resumen!$C$16*Resumen!$C$10*Resumen!$C$13*(Resumen!$C$19/H201)^Resumen!$C$17))</f>
        <v>0.15155457286432164</v>
      </c>
    </row>
    <row r="202" spans="8:10" x14ac:dyDescent="0.3">
      <c r="H202" s="3">
        <v>4</v>
      </c>
      <c r="I202" s="3">
        <f>J202*Resumen!$E$66/(MIN(Resumen!$I$60:$I$61)*Resumen!$E$77*Resumen!$E$78)</f>
        <v>2.3271111111111114E-2</v>
      </c>
      <c r="J202" s="3">
        <f>IF(H202&lt;Resumen!$C$18,Resumen!$C$10*Resumen!$C$13*(1+(Resumen!$C$16-1)*H202/Resumen!$C$18),IF(AND(H202&gt;=Resumen!$C$18,H202&lt;Resumen!$C$19),Resumen!$C$16*Resumen!$C$10*Resumen!$C$13,Resumen!$C$16*Resumen!$C$10*Resumen!$C$13*(Resumen!$C$19/H202)^Resumen!$C$17))</f>
        <v>0.15079680000000004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F93C3-E51A-43A8-AED8-E7D36BB98D45}">
  <dimension ref="A1:B10"/>
  <sheetViews>
    <sheetView workbookViewId="0">
      <selection activeCell="A18" sqref="A18"/>
    </sheetView>
  </sheetViews>
  <sheetFormatPr defaultColWidth="11.5546875" defaultRowHeight="14.4" x14ac:dyDescent="0.3"/>
  <cols>
    <col min="1" max="1" width="147.5546875" bestFit="1" customWidth="1"/>
  </cols>
  <sheetData>
    <row r="1" spans="1:2" x14ac:dyDescent="0.3">
      <c r="A1" t="s">
        <v>64</v>
      </c>
      <c r="B1" t="s">
        <v>65</v>
      </c>
    </row>
    <row r="2" spans="1:2" x14ac:dyDescent="0.3">
      <c r="A2" t="s">
        <v>60</v>
      </c>
      <c r="B2">
        <v>8</v>
      </c>
    </row>
    <row r="3" spans="1:2" x14ac:dyDescent="0.3">
      <c r="A3" t="s">
        <v>61</v>
      </c>
      <c r="B3">
        <v>8</v>
      </c>
    </row>
    <row r="4" spans="1:2" x14ac:dyDescent="0.3">
      <c r="A4" t="s">
        <v>66</v>
      </c>
      <c r="B4">
        <v>8</v>
      </c>
    </row>
    <row r="5" spans="1:2" x14ac:dyDescent="0.3">
      <c r="A5" t="s">
        <v>62</v>
      </c>
      <c r="B5">
        <v>7</v>
      </c>
    </row>
    <row r="6" spans="1:2" x14ac:dyDescent="0.3">
      <c r="A6" t="s">
        <v>56</v>
      </c>
      <c r="B6">
        <v>8</v>
      </c>
    </row>
    <row r="7" spans="1:2" x14ac:dyDescent="0.3">
      <c r="A7" t="s">
        <v>63</v>
      </c>
      <c r="B7">
        <v>8</v>
      </c>
    </row>
    <row r="8" spans="1:2" x14ac:dyDescent="0.3">
      <c r="A8" t="s">
        <v>57</v>
      </c>
      <c r="B8">
        <v>8</v>
      </c>
    </row>
    <row r="9" spans="1:2" x14ac:dyDescent="0.3">
      <c r="A9" t="s">
        <v>58</v>
      </c>
      <c r="B9">
        <v>5</v>
      </c>
    </row>
    <row r="10" spans="1:2" x14ac:dyDescent="0.3">
      <c r="A10" t="s">
        <v>59</v>
      </c>
      <c r="B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17</vt:i4>
      </vt:variant>
    </vt:vector>
  </HeadingPairs>
  <TitlesOfParts>
    <vt:vector size="20" baseType="lpstr">
      <vt:lpstr>Resumen</vt:lpstr>
      <vt:lpstr>Datos NEC - Espectro</vt:lpstr>
      <vt:lpstr>Factores R</vt:lpstr>
      <vt:lpstr>Categ</vt:lpstr>
      <vt:lpstr>Ct</vt:lpstr>
      <vt:lpstr>Est</vt:lpstr>
      <vt:lpstr>Fa</vt:lpstr>
      <vt:lpstr>FactorI</vt:lpstr>
      <vt:lpstr>FactorR</vt:lpstr>
      <vt:lpstr>Fd</vt:lpstr>
      <vt:lpstr>Fs</vt:lpstr>
      <vt:lpstr>n</vt:lpstr>
      <vt:lpstr>Sistema</vt:lpstr>
      <vt:lpstr>Suelo</vt:lpstr>
      <vt:lpstr>x</vt:lpstr>
      <vt:lpstr>Z</vt:lpstr>
      <vt:lpstr>Zona</vt:lpstr>
      <vt:lpstr>ZonaFa</vt:lpstr>
      <vt:lpstr>ZonaFd</vt:lpstr>
      <vt:lpstr>ZonaFs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Escalante</dc:creator>
  <cp:lastModifiedBy>Diego José Escalante Villegas</cp:lastModifiedBy>
  <cp:lastPrinted>2021-07-27T15:07:17Z</cp:lastPrinted>
  <dcterms:created xsi:type="dcterms:W3CDTF">2021-05-29T18:12:41Z</dcterms:created>
  <dcterms:modified xsi:type="dcterms:W3CDTF">2024-06-01T16:18:00Z</dcterms:modified>
</cp:coreProperties>
</file>