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tem\Desktop\PSP\Reducer\"/>
    </mc:Choice>
  </mc:AlternateContent>
  <xr:revisionPtr revIDLastSave="0" documentId="13_ncr:1_{01B63FAF-A8EE-4991-B934-0A2DF87C71FF}" xr6:coauthVersionLast="47" xr6:coauthVersionMax="47" xr10:uidLastSave="{00000000-0000-0000-0000-000000000000}"/>
  <bookViews>
    <workbookView xWindow="2352" yWindow="1560" windowWidth="17280" windowHeight="8964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9" i="1" l="1"/>
  <c r="E179" i="1"/>
  <c r="C179" i="1"/>
  <c r="A179" i="1"/>
  <c r="K176" i="1"/>
  <c r="I176" i="1"/>
  <c r="E173" i="1"/>
  <c r="C173" i="1"/>
  <c r="M170" i="1"/>
  <c r="K170" i="1"/>
  <c r="A136" i="1"/>
  <c r="M133" i="1"/>
  <c r="A133" i="1"/>
  <c r="I130" i="1"/>
  <c r="G130" i="1"/>
  <c r="E130" i="1"/>
  <c r="M127" i="1"/>
  <c r="A124" i="1"/>
  <c r="M121" i="1"/>
  <c r="E121" i="1"/>
  <c r="K115" i="1"/>
  <c r="E69" i="1"/>
  <c r="E49" i="1"/>
  <c r="F49" i="1"/>
  <c r="E44" i="1"/>
  <c r="C44" i="1"/>
  <c r="M41" i="1"/>
  <c r="K41" i="1"/>
  <c r="I38" i="1"/>
  <c r="G38" i="1"/>
  <c r="C35" i="1"/>
  <c r="E35" i="1"/>
  <c r="A35" i="1"/>
  <c r="M29" i="1"/>
  <c r="A29" i="1"/>
  <c r="A83" i="1"/>
  <c r="B185" i="1" l="1"/>
  <c r="A185" i="1"/>
  <c r="H185" i="1" s="1"/>
  <c r="G164" i="1"/>
  <c r="F164" i="1"/>
  <c r="C161" i="1"/>
  <c r="C152" i="1"/>
  <c r="B152" i="1"/>
  <c r="C149" i="1"/>
  <c r="B144" i="1"/>
  <c r="J141" i="1"/>
  <c r="E164" i="1" s="1"/>
  <c r="B141" i="1"/>
  <c r="A152" i="1" s="1"/>
  <c r="K127" i="1"/>
  <c r="B110" i="1"/>
  <c r="I182" i="1" s="1"/>
  <c r="K182" i="1" s="1"/>
  <c r="B109" i="1"/>
  <c r="I102" i="1"/>
  <c r="G102" i="1" s="1"/>
  <c r="I99" i="1"/>
  <c r="G99" i="1"/>
  <c r="E99" i="1"/>
  <c r="E96" i="1"/>
  <c r="G90" i="1"/>
  <c r="I87" i="1"/>
  <c r="K87" i="1" s="1"/>
  <c r="C84" i="1"/>
  <c r="E83" i="1" s="1"/>
  <c r="J80" i="1"/>
  <c r="I80" i="1"/>
  <c r="L80" i="1" s="1"/>
  <c r="D76" i="1"/>
  <c r="J76" i="1" s="1"/>
  <c r="D75" i="1"/>
  <c r="J75" i="1" s="1"/>
  <c r="L75" i="1" s="1"/>
  <c r="K69" i="1"/>
  <c r="I69" i="1" s="1"/>
  <c r="J69" i="1"/>
  <c r="G69" i="1"/>
  <c r="F69" i="1"/>
  <c r="C69" i="1"/>
  <c r="A69" i="1" s="1"/>
  <c r="B69" i="1"/>
  <c r="I65" i="1"/>
  <c r="G65" i="1"/>
  <c r="E65" i="1"/>
  <c r="C65" i="1"/>
  <c r="A65" i="1"/>
  <c r="C59" i="1"/>
  <c r="B59" i="1"/>
  <c r="A59" i="1" s="1"/>
  <c r="M55" i="1"/>
  <c r="L55" i="1"/>
  <c r="I55" i="1"/>
  <c r="I44" i="1"/>
  <c r="G44" i="1"/>
  <c r="I41" i="1"/>
  <c r="G41" i="1"/>
  <c r="E41" i="1"/>
  <c r="E38" i="1"/>
  <c r="G32" i="1"/>
  <c r="I29" i="1"/>
  <c r="E59" i="1" s="1"/>
  <c r="C26" i="1"/>
  <c r="E25" i="1" s="1"/>
  <c r="A25" i="1"/>
  <c r="J22" i="1"/>
  <c r="I22" i="1"/>
  <c r="D18" i="1"/>
  <c r="J18" i="1" s="1"/>
  <c r="D17" i="1"/>
  <c r="J17" i="1" s="1"/>
  <c r="L17" i="1" s="1"/>
  <c r="B10" i="1"/>
  <c r="B11" i="1" s="1"/>
  <c r="F8" i="1"/>
  <c r="E5" i="1"/>
  <c r="C5" i="1"/>
  <c r="A5" i="1"/>
  <c r="L22" i="1" l="1"/>
  <c r="K29" i="1"/>
  <c r="G55" i="1"/>
  <c r="I83" i="1"/>
  <c r="A87" i="1" s="1"/>
  <c r="K83" i="1"/>
  <c r="C87" i="1" s="1"/>
  <c r="M99" i="1"/>
  <c r="C102" i="1" s="1"/>
  <c r="H8" i="1"/>
  <c r="H10" i="1" s="1"/>
  <c r="H11" i="1" s="1"/>
  <c r="A44" i="1"/>
  <c r="K99" i="1"/>
  <c r="A102" i="1" s="1"/>
  <c r="I96" i="1"/>
  <c r="D185" i="1"/>
  <c r="F185" i="1" s="1"/>
  <c r="L185" i="1" s="1"/>
  <c r="K55" i="1"/>
  <c r="A173" i="1"/>
  <c r="E10" i="1"/>
  <c r="G152" i="1"/>
  <c r="E152" i="1"/>
  <c r="A167" i="1"/>
  <c r="M176" i="1"/>
  <c r="C167" i="1"/>
  <c r="K10" i="1"/>
  <c r="E11" i="1"/>
  <c r="B12" i="1"/>
  <c r="E12" i="1" s="1"/>
  <c r="I25" i="1"/>
  <c r="G25" i="1"/>
  <c r="C55" i="1"/>
  <c r="E161" i="1"/>
  <c r="K25" i="1"/>
  <c r="G83" i="1"/>
  <c r="E102" i="1" s="1"/>
  <c r="G87" i="1"/>
  <c r="G96" i="1"/>
  <c r="E149" i="1"/>
  <c r="M87" i="1" l="1"/>
  <c r="E115" i="1"/>
  <c r="E127" i="1" s="1"/>
  <c r="F127" i="1" s="1"/>
  <c r="I170" i="1" s="1"/>
  <c r="D115" i="1"/>
  <c r="D127" i="1" s="1"/>
  <c r="A93" i="1"/>
  <c r="E87" i="1"/>
  <c r="M83" i="1"/>
  <c r="H12" i="1"/>
  <c r="K12" i="1" s="1"/>
  <c r="K11" i="1"/>
  <c r="E55" i="1"/>
  <c r="C29" i="1"/>
  <c r="F55" i="1" s="1"/>
  <c r="G29" i="1"/>
  <c r="A55" i="1"/>
  <c r="E29" i="1"/>
  <c r="M25" i="1"/>
  <c r="B55" i="1"/>
  <c r="A141" i="1"/>
  <c r="I93" i="1" l="1"/>
  <c r="G93" i="1"/>
  <c r="C93" i="1"/>
  <c r="E93" i="1" s="1"/>
  <c r="I115" i="1"/>
  <c r="I35" i="1"/>
  <c r="G115" i="1"/>
  <c r="G35" i="1"/>
  <c r="A115" i="1"/>
  <c r="A127" i="1" s="1"/>
  <c r="I152" i="1"/>
  <c r="A158" i="1" s="1"/>
  <c r="H141" i="1"/>
  <c r="G80" i="1"/>
  <c r="I90" i="1"/>
  <c r="G22" i="1"/>
  <c r="A144" i="1"/>
  <c r="I32" i="1"/>
  <c r="C118" i="1" l="1"/>
  <c r="B115" i="1"/>
  <c r="B127" i="1" s="1"/>
  <c r="K144" i="1"/>
  <c r="G173" i="1"/>
  <c r="I173" i="1" s="1"/>
  <c r="H144" i="1"/>
  <c r="E167" i="1"/>
  <c r="I167" i="1" s="1"/>
  <c r="J185" i="1"/>
  <c r="A188" i="1" s="1"/>
  <c r="C188" i="1" s="1"/>
  <c r="A130" i="1"/>
  <c r="G149" i="1"/>
  <c r="M115" i="1" l="1"/>
  <c r="I149" i="1" s="1"/>
  <c r="K149" i="1" s="1"/>
  <c r="K152" i="1" s="1"/>
  <c r="C158" i="1" s="1"/>
  <c r="E158" i="1" s="1"/>
  <c r="A118" i="1"/>
  <c r="C130" i="1"/>
  <c r="I164" i="1"/>
  <c r="G118" i="1"/>
  <c r="K121" i="1" s="1"/>
  <c r="C115" i="1"/>
  <c r="C127" i="1" s="1"/>
  <c r="K130" i="1" s="1"/>
  <c r="K133" i="1" s="1"/>
  <c r="E118" i="1" l="1"/>
  <c r="E133" i="1"/>
  <c r="A121" i="1"/>
  <c r="K164" i="1" l="1"/>
  <c r="M164" i="1" s="1"/>
  <c r="G167" i="1" s="1"/>
  <c r="K167" i="1" s="1"/>
  <c r="M167" i="1" s="1"/>
</calcChain>
</file>

<file path=xl/sharedStrings.xml><?xml version="1.0" encoding="utf-8"?>
<sst xmlns="http://schemas.openxmlformats.org/spreadsheetml/2006/main" count="351" uniqueCount="191">
  <si>
    <t>F</t>
  </si>
  <si>
    <t>V</t>
  </si>
  <si>
    <t>D</t>
  </si>
  <si>
    <t>Lr</t>
  </si>
  <si>
    <t>Lc</t>
  </si>
  <si>
    <t>Pз</t>
  </si>
  <si>
    <t>nз</t>
  </si>
  <si>
    <t>t</t>
  </si>
  <si>
    <t>ƞ подш</t>
  </si>
  <si>
    <t>ƞ муфты</t>
  </si>
  <si>
    <t>ƞ прив</t>
  </si>
  <si>
    <t>Pвых.тр</t>
  </si>
  <si>
    <t>n1</t>
  </si>
  <si>
    <t>n2</t>
  </si>
  <si>
    <t>n3</t>
  </si>
  <si>
    <t>w1</t>
  </si>
  <si>
    <t>w2</t>
  </si>
  <si>
    <t>w3</t>
  </si>
  <si>
    <t>P1</t>
  </si>
  <si>
    <t>P2</t>
  </si>
  <si>
    <t>P3</t>
  </si>
  <si>
    <t>ƞ откр к</t>
  </si>
  <si>
    <t>ƞ цил зак</t>
  </si>
  <si>
    <t>T1</t>
  </si>
  <si>
    <t>T2</t>
  </si>
  <si>
    <t>T3</t>
  </si>
  <si>
    <t>Uр</t>
  </si>
  <si>
    <t>HB</t>
  </si>
  <si>
    <t>сигма</t>
  </si>
  <si>
    <t>Sн</t>
  </si>
  <si>
    <t>K    HL</t>
  </si>
  <si>
    <t>сигма н</t>
  </si>
  <si>
    <t>1)</t>
  </si>
  <si>
    <t>2)</t>
  </si>
  <si>
    <t>[сигма н]</t>
  </si>
  <si>
    <t>K Hбета</t>
  </si>
  <si>
    <t>a w</t>
  </si>
  <si>
    <t>Ka</t>
  </si>
  <si>
    <t>m</t>
  </si>
  <si>
    <t>z1</t>
  </si>
  <si>
    <t>z2</t>
  </si>
  <si>
    <t>cos бета</t>
  </si>
  <si>
    <t>бета</t>
  </si>
  <si>
    <t>d1</t>
  </si>
  <si>
    <t>d2</t>
  </si>
  <si>
    <t>d a1</t>
  </si>
  <si>
    <t>d a2</t>
  </si>
  <si>
    <t>d f1</t>
  </si>
  <si>
    <t>d f2</t>
  </si>
  <si>
    <t>b2</t>
  </si>
  <si>
    <t>b1</t>
  </si>
  <si>
    <t>K H альфа</t>
  </si>
  <si>
    <t>K H бета</t>
  </si>
  <si>
    <t>K HV</t>
  </si>
  <si>
    <t>K H</t>
  </si>
  <si>
    <t>сигма H</t>
  </si>
  <si>
    <t>Ft</t>
  </si>
  <si>
    <t>Fr</t>
  </si>
  <si>
    <t>альфа</t>
  </si>
  <si>
    <t>Fa</t>
  </si>
  <si>
    <t>K Fбета</t>
  </si>
  <si>
    <t>K FV</t>
  </si>
  <si>
    <t>K f</t>
  </si>
  <si>
    <t>zV2</t>
  </si>
  <si>
    <t>zV1</t>
  </si>
  <si>
    <t>Yf1</t>
  </si>
  <si>
    <t>Yf2</t>
  </si>
  <si>
    <t>пси bd</t>
  </si>
  <si>
    <t>сигма F1</t>
  </si>
  <si>
    <t>[сигма F1]</t>
  </si>
  <si>
    <t>[сигма F]</t>
  </si>
  <si>
    <t>[сигма F2]</t>
  </si>
  <si>
    <t>сигма 0F1</t>
  </si>
  <si>
    <t>сигма 0F2</t>
  </si>
  <si>
    <t>отн шес</t>
  </si>
  <si>
    <t>отн кол</t>
  </si>
  <si>
    <t>Y бета</t>
  </si>
  <si>
    <t>K F альфа</t>
  </si>
  <si>
    <t>эпс альф</t>
  </si>
  <si>
    <t>n</t>
  </si>
  <si>
    <t>сигма F2</t>
  </si>
  <si>
    <t>пси ba</t>
  </si>
  <si>
    <t>[S F]шт</t>
  </si>
  <si>
    <t>[S F]2шт</t>
  </si>
  <si>
    <t>вопросы</t>
  </si>
  <si>
    <t>конечный результ</t>
  </si>
  <si>
    <t>менять значения</t>
  </si>
  <si>
    <t>понравился цвет</t>
  </si>
  <si>
    <t>крайнее значение</t>
  </si>
  <si>
    <t>тау k1</t>
  </si>
  <si>
    <t>тау k2</t>
  </si>
  <si>
    <t>d v1</t>
  </si>
  <si>
    <t>d v2</t>
  </si>
  <si>
    <t xml:space="preserve"> </t>
  </si>
  <si>
    <t>Dдв</t>
  </si>
  <si>
    <t>dп1</t>
  </si>
  <si>
    <t>dп2</t>
  </si>
  <si>
    <t>Uо</t>
  </si>
  <si>
    <t>dк2</t>
  </si>
  <si>
    <t>d st</t>
  </si>
  <si>
    <t>l st</t>
  </si>
  <si>
    <t>С</t>
  </si>
  <si>
    <t>дельта 0</t>
  </si>
  <si>
    <t>дельта</t>
  </si>
  <si>
    <t>дельта1</t>
  </si>
  <si>
    <t>b</t>
  </si>
  <si>
    <t>p</t>
  </si>
  <si>
    <t>d3</t>
  </si>
  <si>
    <t>d4</t>
  </si>
  <si>
    <t>Условное</t>
  </si>
  <si>
    <t>обознач</t>
  </si>
  <si>
    <t>подшип</t>
  </si>
  <si>
    <t>d</t>
  </si>
  <si>
    <t>B</t>
  </si>
  <si>
    <t>r</t>
  </si>
  <si>
    <t>динамич</t>
  </si>
  <si>
    <t>статическа</t>
  </si>
  <si>
    <t>С 0</t>
  </si>
  <si>
    <t>Грузоподъемность кН</t>
  </si>
  <si>
    <t>Размеры в мм</t>
  </si>
  <si>
    <t>l1</t>
  </si>
  <si>
    <t>l2</t>
  </si>
  <si>
    <t>n ном</t>
  </si>
  <si>
    <t>e</t>
  </si>
  <si>
    <t>Rx1</t>
  </si>
  <si>
    <t>Rx2</t>
  </si>
  <si>
    <t>Ry1</t>
  </si>
  <si>
    <t>Ry2</t>
  </si>
  <si>
    <t>Проверк</t>
  </si>
  <si>
    <t>Pr1</t>
  </si>
  <si>
    <t>Pr2</t>
  </si>
  <si>
    <t>Pa</t>
  </si>
  <si>
    <t>K б</t>
  </si>
  <si>
    <t>K T</t>
  </si>
  <si>
    <t>Pa/C 0</t>
  </si>
  <si>
    <t>Pa/Pr1</t>
  </si>
  <si>
    <t>X</t>
  </si>
  <si>
    <t>Y</t>
  </si>
  <si>
    <t>Pэ</t>
  </si>
  <si>
    <t>L</t>
  </si>
  <si>
    <t>Lh</t>
  </si>
  <si>
    <t>l3</t>
  </si>
  <si>
    <t>гамма</t>
  </si>
  <si>
    <t>Fвх=Fву</t>
  </si>
  <si>
    <t>Pоп</t>
  </si>
  <si>
    <t>Rx3</t>
  </si>
  <si>
    <t>Rx4</t>
  </si>
  <si>
    <t>Ry3</t>
  </si>
  <si>
    <t>Ry4</t>
  </si>
  <si>
    <t>Pr3</t>
  </si>
  <si>
    <t>Pr4</t>
  </si>
  <si>
    <t>Fa/C0</t>
  </si>
  <si>
    <t>Pa/Pr4</t>
  </si>
  <si>
    <t>сигма см</t>
  </si>
  <si>
    <t>h</t>
  </si>
  <si>
    <t>l</t>
  </si>
  <si>
    <t>t1</t>
  </si>
  <si>
    <t>сигма в</t>
  </si>
  <si>
    <t>сигма -1</t>
  </si>
  <si>
    <t>тау -1</t>
  </si>
  <si>
    <t>Wk нетто</t>
  </si>
  <si>
    <t>W нетто</t>
  </si>
  <si>
    <t>таув-таум</t>
  </si>
  <si>
    <t>сигма в=сигма max</t>
  </si>
  <si>
    <t>My</t>
  </si>
  <si>
    <t>Mx</t>
  </si>
  <si>
    <t>k сигма</t>
  </si>
  <si>
    <t>k тау</t>
  </si>
  <si>
    <t>эпс сиг</t>
  </si>
  <si>
    <t>эпс тау</t>
  </si>
  <si>
    <t>пси тау</t>
  </si>
  <si>
    <t>пси сигма</t>
  </si>
  <si>
    <t>S тау=S</t>
  </si>
  <si>
    <t>S сигма</t>
  </si>
  <si>
    <t>S</t>
  </si>
  <si>
    <t>M A-A</t>
  </si>
  <si>
    <t>M шт</t>
  </si>
  <si>
    <t>M 2шт</t>
  </si>
  <si>
    <t>k/эп сиг</t>
  </si>
  <si>
    <t>k/эп тау</t>
  </si>
  <si>
    <t>M4</t>
  </si>
  <si>
    <t>W</t>
  </si>
  <si>
    <t>Wp</t>
  </si>
  <si>
    <t>S тау</t>
  </si>
  <si>
    <t>K-K</t>
  </si>
  <si>
    <t>M Б-Б</t>
  </si>
  <si>
    <t>x1</t>
  </si>
  <si>
    <t>Л-Л</t>
  </si>
  <si>
    <t>Б-Б</t>
  </si>
  <si>
    <t>z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</si>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</sst>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17" fontId="0" fillId="0" borderId="0" xfId="0" applyNumberFormat="1" applyAlignment="1">
      <alignment vertic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9"/>
  <sheetViews>
    <sheetView tabSelected="1" topLeftCell="A167" zoomScaleNormal="100" workbookViewId="0">
      <selection activeCell="J193" sqref="J193"/>
    </sheetView>
  </sheetViews>
  <sheetFormatPr defaultColWidth="9.109375" defaultRowHeight="14.4" x14ac:dyDescent="0.3"/>
  <cols>
    <col min="1" max="6" width="9.109375" style="2"/>
    <col min="7" max="7" width="12" style="2" bestFit="1" customWidth="1"/>
    <col min="8" max="12" width="9.109375" style="2"/>
    <col min="13" max="13" width="12" style="2" bestFit="1" customWidth="1"/>
    <col min="14" max="16384" width="9.109375" style="2"/>
  </cols>
  <sheetData>
    <row r="1" spans="1:13" x14ac:dyDescent="0.3">
      <c r="A1" s="1" t="s">
        <v>0</v>
      </c>
      <c r="B1" s="1" t="s">
        <v>1</v>
      </c>
      <c r="C1" s="1" t="s">
        <v>106</v>
      </c>
      <c r="D1" s="1" t="s">
        <v>189</v>
      </c>
      <c r="E1" s="1" t="s">
        <v>3</v>
      </c>
      <c r="F1" s="1" t="s">
        <v>4</v>
      </c>
      <c r="G1" s="1" t="s">
        <v>190</v>
      </c>
      <c r="H1" s="3"/>
      <c r="I1" s="4" t="s">
        <v>84</v>
      </c>
      <c r="K1" s="1"/>
      <c r="L1" s="2" t="s">
        <v>86</v>
      </c>
    </row>
    <row r="2" spans="1:13" x14ac:dyDescent="0.3">
      <c r="A2" s="2">
        <v>4.8</v>
      </c>
      <c r="B2" s="2">
        <v>0.6</v>
      </c>
      <c r="C2" s="2">
        <v>80</v>
      </c>
      <c r="D2" s="2">
        <v>8</v>
      </c>
      <c r="E2" s="2">
        <v>5</v>
      </c>
      <c r="F2" s="2">
        <v>2</v>
      </c>
      <c r="G2" s="2">
        <v>6</v>
      </c>
      <c r="H2" s="5"/>
      <c r="I2" s="2" t="s">
        <v>85</v>
      </c>
      <c r="K2" s="6"/>
      <c r="L2" s="2" t="s">
        <v>87</v>
      </c>
    </row>
    <row r="3" spans="1:13" x14ac:dyDescent="0.3">
      <c r="H3" s="7"/>
      <c r="I3" s="2" t="s">
        <v>88</v>
      </c>
    </row>
    <row r="4" spans="1:13" x14ac:dyDescent="0.3">
      <c r="A4" s="2" t="s">
        <v>5</v>
      </c>
      <c r="C4" s="2" t="s">
        <v>6</v>
      </c>
      <c r="E4" s="2" t="s">
        <v>7</v>
      </c>
    </row>
    <row r="5" spans="1:13" x14ac:dyDescent="0.3">
      <c r="A5" s="2">
        <f>A2*B2*1000</f>
        <v>2880</v>
      </c>
      <c r="C5" s="2">
        <f>60*B2/D2/C2*1000</f>
        <v>56.25</v>
      </c>
      <c r="E5" s="2">
        <f>G2*8760/(24/F2)</f>
        <v>4380</v>
      </c>
    </row>
    <row r="6" spans="1:13" x14ac:dyDescent="0.3">
      <c r="H6" s="1">
        <v>4</v>
      </c>
    </row>
    <row r="7" spans="1:13" x14ac:dyDescent="0.3">
      <c r="A7" s="8" t="s">
        <v>21</v>
      </c>
      <c r="B7" s="1" t="s">
        <v>22</v>
      </c>
      <c r="C7" s="2" t="s">
        <v>8</v>
      </c>
      <c r="D7" s="2" t="s">
        <v>9</v>
      </c>
      <c r="F7" s="1" t="s">
        <v>10</v>
      </c>
      <c r="H7" s="1" t="s">
        <v>11</v>
      </c>
      <c r="J7" s="1" t="s">
        <v>26</v>
      </c>
      <c r="K7" s="1" t="s">
        <v>97</v>
      </c>
      <c r="M7" s="1" t="s">
        <v>122</v>
      </c>
    </row>
    <row r="8" spans="1:13" x14ac:dyDescent="0.3">
      <c r="A8" s="2">
        <v>0.94</v>
      </c>
      <c r="B8" s="2">
        <v>0.97</v>
      </c>
      <c r="C8" s="2">
        <v>0.99</v>
      </c>
      <c r="D8" s="2">
        <v>0.98</v>
      </c>
      <c r="F8" s="4">
        <f>A8*B8*C8^3*D8</f>
        <v>0.86702425563599994</v>
      </c>
      <c r="H8" s="2">
        <f>A5/F8</f>
        <v>3321.7063781997599</v>
      </c>
      <c r="J8" s="4">
        <v>4</v>
      </c>
      <c r="K8" s="4">
        <v>4</v>
      </c>
      <c r="M8" s="4">
        <v>950</v>
      </c>
    </row>
    <row r="10" spans="1:13" x14ac:dyDescent="0.3">
      <c r="A10" s="5" t="s">
        <v>12</v>
      </c>
      <c r="B10" s="5">
        <f>M8</f>
        <v>950</v>
      </c>
      <c r="D10" s="5" t="s">
        <v>15</v>
      </c>
      <c r="E10" s="5">
        <f>B10*PI()/30</f>
        <v>99.48376736367679</v>
      </c>
      <c r="G10" s="5" t="s">
        <v>18</v>
      </c>
      <c r="H10" s="5">
        <f>H8*D8*C8</f>
        <v>3222.7195281294066</v>
      </c>
      <c r="J10" s="5" t="s">
        <v>23</v>
      </c>
      <c r="K10" s="5">
        <f>H10/E10</f>
        <v>32.394425880036344</v>
      </c>
    </row>
    <row r="11" spans="1:13" x14ac:dyDescent="0.3">
      <c r="A11" s="5" t="s">
        <v>13</v>
      </c>
      <c r="B11" s="5">
        <f>B10/J8</f>
        <v>237.5</v>
      </c>
      <c r="D11" s="5" t="s">
        <v>16</v>
      </c>
      <c r="E11" s="5">
        <f t="shared" ref="E11" si="0">B11*PI()/30</f>
        <v>24.870941840919198</v>
      </c>
      <c r="G11" s="5" t="s">
        <v>19</v>
      </c>
      <c r="H11" s="5">
        <f>H10*B8*C8</f>
        <v>3094.7775628626691</v>
      </c>
      <c r="J11" s="5" t="s">
        <v>24</v>
      </c>
      <c r="K11" s="5">
        <f>H11/E11</f>
        <v>124.43346869039561</v>
      </c>
    </row>
    <row r="12" spans="1:13" x14ac:dyDescent="0.3">
      <c r="A12" s="5" t="s">
        <v>14</v>
      </c>
      <c r="B12" s="5">
        <f>B11/K8</f>
        <v>59.375</v>
      </c>
      <c r="D12" s="5" t="s">
        <v>17</v>
      </c>
      <c r="E12" s="5">
        <f>B12*PI()/30</f>
        <v>6.2177354602297994</v>
      </c>
      <c r="G12" s="5" t="s">
        <v>20</v>
      </c>
      <c r="H12" s="5">
        <f>H11*D8*C8*A8</f>
        <v>2822.4</v>
      </c>
      <c r="J12" s="5" t="s">
        <v>25</v>
      </c>
      <c r="K12" s="5">
        <f>H12/E12</f>
        <v>453.92732097606608</v>
      </c>
    </row>
    <row r="14" spans="1:13" x14ac:dyDescent="0.3">
      <c r="A14" s="6">
        <v>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6" spans="1:13" x14ac:dyDescent="0.3">
      <c r="B16" s="1" t="s">
        <v>27</v>
      </c>
      <c r="D16" s="2" t="s">
        <v>28</v>
      </c>
      <c r="F16" s="4" t="s">
        <v>29</v>
      </c>
      <c r="G16" s="4"/>
      <c r="H16" s="4" t="s">
        <v>30</v>
      </c>
      <c r="J16" s="2" t="s">
        <v>34</v>
      </c>
      <c r="L16" s="7" t="s">
        <v>31</v>
      </c>
    </row>
    <row r="17" spans="1:13" x14ac:dyDescent="0.3">
      <c r="A17" s="2" t="s">
        <v>32</v>
      </c>
      <c r="B17" s="4">
        <v>230</v>
      </c>
      <c r="D17" s="2">
        <f>2*B17+70</f>
        <v>530</v>
      </c>
      <c r="F17" s="2">
        <v>1.1000000000000001</v>
      </c>
      <c r="H17" s="2">
        <v>1</v>
      </c>
      <c r="J17" s="2">
        <f>D17*H17/F17</f>
        <v>481.81818181818176</v>
      </c>
      <c r="L17" s="7">
        <f>0.45*(J17+J18)</f>
        <v>409.09090909090907</v>
      </c>
    </row>
    <row r="18" spans="1:13" x14ac:dyDescent="0.3">
      <c r="A18" s="2" t="s">
        <v>33</v>
      </c>
      <c r="B18" s="4">
        <v>200</v>
      </c>
      <c r="D18" s="2">
        <f>2*B18+70</f>
        <v>470</v>
      </c>
      <c r="H18" s="4"/>
      <c r="J18" s="2">
        <f>D18*H17/F17</f>
        <v>427.27272727272725</v>
      </c>
      <c r="L18" s="4"/>
      <c r="M18" s="4"/>
    </row>
    <row r="19" spans="1:13" x14ac:dyDescent="0.3">
      <c r="H19" s="4"/>
      <c r="L19" s="4"/>
      <c r="M19" s="4"/>
    </row>
    <row r="20" spans="1:13" x14ac:dyDescent="0.3">
      <c r="G20" s="1">
        <v>125</v>
      </c>
      <c r="H20" s="4"/>
      <c r="L20" s="1">
        <v>2</v>
      </c>
      <c r="M20" s="4"/>
    </row>
    <row r="21" spans="1:13" x14ac:dyDescent="0.3">
      <c r="A21" s="4" t="s">
        <v>35</v>
      </c>
      <c r="B21" s="4"/>
      <c r="C21" s="4" t="s">
        <v>81</v>
      </c>
      <c r="E21" s="2" t="s">
        <v>37</v>
      </c>
      <c r="G21" s="1" t="s">
        <v>36</v>
      </c>
      <c r="I21" s="2">
        <v>0.01</v>
      </c>
      <c r="J21" s="2">
        <v>0.02</v>
      </c>
      <c r="L21" s="1" t="s">
        <v>38</v>
      </c>
    </row>
    <row r="22" spans="1:13" x14ac:dyDescent="0.3">
      <c r="A22" s="4">
        <v>1.1499999999999999</v>
      </c>
      <c r="B22" s="4"/>
      <c r="C22" s="4">
        <v>0.4</v>
      </c>
      <c r="E22" s="2">
        <v>43</v>
      </c>
      <c r="G22" s="2">
        <f>E22*(J8+1)*(K11*1000*A22/(L17^2*J8^2*C22))^(1/3)</f>
        <v>109.91161742004881</v>
      </c>
      <c r="I22" s="2">
        <f>G20*I21</f>
        <v>1.25</v>
      </c>
      <c r="J22" s="2">
        <f>G20*J21</f>
        <v>2.5</v>
      </c>
      <c r="L22" s="2">
        <f>(I22+J22)/2</f>
        <v>1.875</v>
      </c>
    </row>
    <row r="24" spans="1:13" x14ac:dyDescent="0.3">
      <c r="A24" s="5" t="s">
        <v>39</v>
      </c>
      <c r="C24" s="5" t="s">
        <v>40</v>
      </c>
      <c r="E24" s="2" t="s">
        <v>41</v>
      </c>
      <c r="G24" s="2" t="s">
        <v>42</v>
      </c>
      <c r="I24" s="5" t="s">
        <v>43</v>
      </c>
      <c r="K24" s="5" t="s">
        <v>44</v>
      </c>
      <c r="M24" s="2" t="s">
        <v>36</v>
      </c>
    </row>
    <row r="25" spans="1:13" x14ac:dyDescent="0.3">
      <c r="A25" s="2">
        <f>2*G20*COS(10*PI()/180)/(J8+1)/L20</f>
        <v>24.620193825305201</v>
      </c>
      <c r="E25" s="2">
        <f>(A26+C26)*L20/(2*G20)</f>
        <v>0.96</v>
      </c>
      <c r="G25" s="2">
        <f>ACOS(E25)*180/PI()</f>
        <v>16.260204708311971</v>
      </c>
      <c r="I25" s="5">
        <f>L20*A26/E25</f>
        <v>50</v>
      </c>
      <c r="K25" s="5">
        <f>C26*L20/E25</f>
        <v>200</v>
      </c>
      <c r="M25" s="2">
        <f>(I25+K25)/2</f>
        <v>125</v>
      </c>
    </row>
    <row r="26" spans="1:13" x14ac:dyDescent="0.3">
      <c r="A26" s="5">
        <v>24</v>
      </c>
      <c r="C26" s="5">
        <f>A26*J8</f>
        <v>96</v>
      </c>
    </row>
    <row r="27" spans="1:13" x14ac:dyDescent="0.3">
      <c r="H27" s="2" t="s">
        <v>93</v>
      </c>
    </row>
    <row r="28" spans="1:13" x14ac:dyDescent="0.3">
      <c r="A28" s="5" t="s">
        <v>45</v>
      </c>
      <c r="C28" s="5" t="s">
        <v>46</v>
      </c>
      <c r="E28" s="2" t="s">
        <v>47</v>
      </c>
      <c r="G28" s="2" t="s">
        <v>48</v>
      </c>
      <c r="I28" s="5" t="s">
        <v>49</v>
      </c>
      <c r="K28" s="5" t="s">
        <v>50</v>
      </c>
      <c r="M28" s="2" t="s">
        <v>67</v>
      </c>
    </row>
    <row r="29" spans="1:13" x14ac:dyDescent="0.3">
      <c r="A29" s="5">
        <f>I25+2*L20</f>
        <v>54</v>
      </c>
      <c r="C29" s="5">
        <f>K25+2*L20</f>
        <v>204</v>
      </c>
      <c r="E29" s="2">
        <f>I25-2.5*L20</f>
        <v>45</v>
      </c>
      <c r="G29" s="2">
        <f>K25-2.5*L20</f>
        <v>195</v>
      </c>
      <c r="I29" s="5">
        <f>G20*C22</f>
        <v>50</v>
      </c>
      <c r="K29" s="5">
        <f>I29+5</f>
        <v>55</v>
      </c>
      <c r="M29" s="2">
        <f>K29/I25</f>
        <v>1.1000000000000001</v>
      </c>
    </row>
    <row r="31" spans="1:13" x14ac:dyDescent="0.3">
      <c r="A31" s="1" t="s">
        <v>51</v>
      </c>
      <c r="C31" s="1" t="s">
        <v>52</v>
      </c>
      <c r="E31" s="4" t="s">
        <v>53</v>
      </c>
      <c r="G31" s="2" t="s">
        <v>54</v>
      </c>
      <c r="I31" s="5" t="s">
        <v>55</v>
      </c>
      <c r="K31" s="4" t="s">
        <v>58</v>
      </c>
    </row>
    <row r="32" spans="1:13" x14ac:dyDescent="0.3">
      <c r="A32" s="2">
        <v>1.0649999999999999</v>
      </c>
      <c r="C32" s="2">
        <v>1.05</v>
      </c>
      <c r="E32" s="2">
        <v>1</v>
      </c>
      <c r="G32" s="2">
        <f>A32*C32*E32</f>
        <v>1.11825</v>
      </c>
      <c r="I32" s="5">
        <f>270/G20*SQRT(K11*1000*G32*(J8+1)^3/I29/J8^2)</f>
        <v>318.4944152079475</v>
      </c>
      <c r="K32" s="4">
        <v>20</v>
      </c>
      <c r="M32" s="9"/>
    </row>
    <row r="33" spans="1:39" x14ac:dyDescent="0.3"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1:39" x14ac:dyDescent="0.3">
      <c r="A34" s="2" t="s">
        <v>56</v>
      </c>
      <c r="C34" s="2" t="s">
        <v>57</v>
      </c>
      <c r="E34" s="2" t="s">
        <v>59</v>
      </c>
      <c r="G34" s="5" t="s">
        <v>68</v>
      </c>
      <c r="I34" s="5" t="s">
        <v>80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x14ac:dyDescent="0.3">
      <c r="A35" s="2">
        <f>2*K10*1000/I25</f>
        <v>1295.7770352014538</v>
      </c>
      <c r="C35" s="2">
        <f>A35*TAN(K32*PI()/180)/E25</f>
        <v>491.27528235316487</v>
      </c>
      <c r="E35" s="2">
        <f>C35*TAN(G25*PI()/180)</f>
        <v>143.28862401967322</v>
      </c>
      <c r="G35" s="5">
        <f>A35*E38*K38*G44*E44/K29/L20</f>
        <v>44.114272694908166</v>
      </c>
      <c r="I35" s="5">
        <f>A35*E38*M38*G44*E44/I29/L20</f>
        <v>45.731026144459783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x14ac:dyDescent="0.3"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x14ac:dyDescent="0.3">
      <c r="A37" s="1" t="s">
        <v>60</v>
      </c>
      <c r="C37" s="1" t="s">
        <v>61</v>
      </c>
      <c r="E37" s="2" t="s">
        <v>62</v>
      </c>
      <c r="G37" s="2" t="s">
        <v>64</v>
      </c>
      <c r="I37" s="2" t="s">
        <v>63</v>
      </c>
      <c r="K37" s="1" t="s">
        <v>65</v>
      </c>
      <c r="M37" s="1" t="s">
        <v>66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 x14ac:dyDescent="0.3">
      <c r="A38" s="4">
        <v>1.1000000000000001</v>
      </c>
      <c r="C38" s="4">
        <v>1.1000000000000001</v>
      </c>
      <c r="E38" s="2">
        <f>A38*C38</f>
        <v>1.2100000000000002</v>
      </c>
      <c r="G38" s="2">
        <f>A26/E25^3</f>
        <v>27.126736111111111</v>
      </c>
      <c r="I38" s="2">
        <f>C26/E25^3</f>
        <v>108.50694444444444</v>
      </c>
      <c r="K38" s="2">
        <v>3.82</v>
      </c>
      <c r="M38" s="2">
        <v>3.6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x14ac:dyDescent="0.3"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x14ac:dyDescent="0.3">
      <c r="A40" s="1" t="s">
        <v>82</v>
      </c>
      <c r="C40" s="1" t="s">
        <v>83</v>
      </c>
      <c r="E40" s="2" t="s">
        <v>70</v>
      </c>
      <c r="G40" s="2" t="s">
        <v>72</v>
      </c>
      <c r="I40" s="2" t="s">
        <v>73</v>
      </c>
      <c r="K40" s="2" t="s">
        <v>69</v>
      </c>
      <c r="M40" s="10" t="s">
        <v>71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x14ac:dyDescent="0.3">
      <c r="A41" s="4">
        <v>1.75</v>
      </c>
      <c r="C41" s="4">
        <v>1</v>
      </c>
      <c r="E41" s="2">
        <f>A41*C41</f>
        <v>1.75</v>
      </c>
      <c r="G41" s="2">
        <f>1.8*B17</f>
        <v>414</v>
      </c>
      <c r="I41" s="2">
        <f>1.8*B18</f>
        <v>360</v>
      </c>
      <c r="K41" s="2">
        <f>G41/E41</f>
        <v>236.57142857142858</v>
      </c>
      <c r="M41" s="7">
        <f>I41/E41</f>
        <v>205.71428571428572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39" x14ac:dyDescent="0.3"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x14ac:dyDescent="0.3">
      <c r="A43" s="2" t="s">
        <v>74</v>
      </c>
      <c r="C43" s="2" t="s">
        <v>75</v>
      </c>
      <c r="E43" s="2" t="s">
        <v>76</v>
      </c>
      <c r="G43" s="2" t="s">
        <v>77</v>
      </c>
      <c r="I43" s="1" t="s">
        <v>78</v>
      </c>
      <c r="K43" s="1" t="s">
        <v>79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x14ac:dyDescent="0.3">
      <c r="A44" s="2">
        <f>K41/K38</f>
        <v>61.929693343305914</v>
      </c>
      <c r="C44" s="2">
        <f>M41/M38</f>
        <v>57.142857142857146</v>
      </c>
      <c r="E44" s="2">
        <f>1-G25/140</f>
        <v>0.88385568065491449</v>
      </c>
      <c r="G44" s="2">
        <f>(4+(I44-1)*(K44-5))/4/I44</f>
        <v>0.91666666666666663</v>
      </c>
      <c r="I44" s="4">
        <f>1.5</f>
        <v>1.5</v>
      </c>
      <c r="J44" s="4"/>
      <c r="K44" s="4">
        <v>8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x14ac:dyDescent="0.3"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x14ac:dyDescent="0.3">
      <c r="A46" s="6">
        <v>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x14ac:dyDescent="0.3"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x14ac:dyDescent="0.3">
      <c r="A48" s="1" t="s">
        <v>89</v>
      </c>
      <c r="C48" s="1" t="s">
        <v>90</v>
      </c>
      <c r="E48" s="5" t="s">
        <v>91</v>
      </c>
      <c r="F48" s="5" t="s">
        <v>92</v>
      </c>
      <c r="H48" s="1" t="s">
        <v>94</v>
      </c>
      <c r="J48" s="1" t="s">
        <v>95</v>
      </c>
      <c r="K48" s="1" t="s">
        <v>96</v>
      </c>
      <c r="M48" s="1" t="s">
        <v>98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x14ac:dyDescent="0.3">
      <c r="A49" s="2">
        <v>25</v>
      </c>
      <c r="C49" s="2">
        <v>30</v>
      </c>
      <c r="E49" s="2">
        <f>(16*K10*1000/PI()/A49)^(1/3)</f>
        <v>18.757147615217651</v>
      </c>
      <c r="F49" s="2">
        <f>(16*K11*1000/PI()/C49)^(1/3)</f>
        <v>27.64364800255084</v>
      </c>
      <c r="H49" s="2">
        <v>32</v>
      </c>
      <c r="J49" s="5">
        <v>17</v>
      </c>
      <c r="K49" s="5">
        <v>25</v>
      </c>
      <c r="M49" s="5">
        <v>22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x14ac:dyDescent="0.3">
      <c r="E50" s="4">
        <v>20</v>
      </c>
      <c r="F50" s="4">
        <v>28</v>
      </c>
      <c r="M50" s="3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x14ac:dyDescent="0.3"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x14ac:dyDescent="0.3">
      <c r="A52" s="6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x14ac:dyDescent="0.3"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pans="1:39" x14ac:dyDescent="0.3">
      <c r="A54" s="2" t="s">
        <v>43</v>
      </c>
      <c r="B54" s="2" t="s">
        <v>45</v>
      </c>
      <c r="C54" s="2" t="s">
        <v>50</v>
      </c>
      <c r="E54" s="2" t="s">
        <v>44</v>
      </c>
      <c r="F54" s="2" t="s">
        <v>46</v>
      </c>
      <c r="G54" s="2" t="s">
        <v>49</v>
      </c>
      <c r="I54" s="5" t="s">
        <v>99</v>
      </c>
      <c r="K54" s="5" t="s">
        <v>100</v>
      </c>
      <c r="L54" s="2">
        <v>1.2</v>
      </c>
      <c r="M54" s="2">
        <v>1.5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x14ac:dyDescent="0.3">
      <c r="A55" s="2">
        <f>I25</f>
        <v>50</v>
      </c>
      <c r="B55" s="2">
        <f>A29</f>
        <v>54</v>
      </c>
      <c r="C55" s="2">
        <f>K29</f>
        <v>55</v>
      </c>
      <c r="E55" s="2">
        <f>K25</f>
        <v>200</v>
      </c>
      <c r="F55" s="2">
        <f>C29</f>
        <v>204</v>
      </c>
      <c r="G55" s="2">
        <f>I29</f>
        <v>50</v>
      </c>
      <c r="I55" s="5">
        <f>1.6*M49</f>
        <v>35.200000000000003</v>
      </c>
      <c r="K55" s="2">
        <f>(L55+M55)/2</f>
        <v>29.7</v>
      </c>
      <c r="L55" s="2">
        <f>L54*M49</f>
        <v>26.4</v>
      </c>
      <c r="M55" s="2">
        <f>M49*M54</f>
        <v>33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39" x14ac:dyDescent="0.3">
      <c r="K56" s="1">
        <v>30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spans="1:39" x14ac:dyDescent="0.3"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 spans="1:39" x14ac:dyDescent="0.3">
      <c r="A58" s="5" t="s">
        <v>102</v>
      </c>
      <c r="B58" s="2">
        <v>2.5</v>
      </c>
      <c r="C58" s="2">
        <v>4.5</v>
      </c>
      <c r="E58" s="5" t="s">
        <v>101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x14ac:dyDescent="0.3">
      <c r="A59" s="2">
        <f>(B59+C59)/2</f>
        <v>7</v>
      </c>
      <c r="B59" s="2">
        <f>B58*L20</f>
        <v>5</v>
      </c>
      <c r="C59" s="2">
        <f>L20*C58</f>
        <v>9</v>
      </c>
      <c r="E59" s="5">
        <f>0.3*I29</f>
        <v>15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spans="1:39" x14ac:dyDescent="0.3">
      <c r="A60" s="1">
        <v>8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spans="1:39" x14ac:dyDescent="0.3">
      <c r="AB61" s="16"/>
      <c r="AC61" s="16"/>
      <c r="AD61" s="16"/>
      <c r="AE61" s="16"/>
      <c r="AF61" s="16"/>
      <c r="AG61" s="16"/>
      <c r="AH61" s="16"/>
      <c r="AI61" s="16"/>
      <c r="AJ61" s="16"/>
      <c r="AK61" s="17"/>
      <c r="AL61" s="16"/>
      <c r="AM61" s="16"/>
    </row>
    <row r="62" spans="1:39" x14ac:dyDescent="0.3">
      <c r="A62" s="6">
        <v>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1:39" x14ac:dyDescent="0.3"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1:39" x14ac:dyDescent="0.3">
      <c r="A64" s="2" t="s">
        <v>103</v>
      </c>
      <c r="C64" s="2" t="s">
        <v>104</v>
      </c>
      <c r="E64" s="2" t="s">
        <v>105</v>
      </c>
      <c r="G64" s="2" t="s">
        <v>50</v>
      </c>
      <c r="I64" s="2" t="s">
        <v>106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x14ac:dyDescent="0.3">
      <c r="A65" s="2">
        <f>0.025*G20+1</f>
        <v>4.125</v>
      </c>
      <c r="C65" s="2">
        <f>0.02*G20+1</f>
        <v>3.5</v>
      </c>
      <c r="E65" s="2">
        <f>1.5*A66</f>
        <v>12</v>
      </c>
      <c r="G65" s="2">
        <f>1.5*C66</f>
        <v>12</v>
      </c>
      <c r="I65" s="2">
        <f>2.35*A66</f>
        <v>18.8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x14ac:dyDescent="0.3">
      <c r="A66" s="1">
        <v>8</v>
      </c>
      <c r="C66" s="1">
        <v>8</v>
      </c>
      <c r="I66" s="1">
        <v>20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39" x14ac:dyDescent="0.3"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spans="1:39" x14ac:dyDescent="0.3">
      <c r="A68" s="5" t="s">
        <v>43</v>
      </c>
      <c r="B68" s="2">
        <v>0.03</v>
      </c>
      <c r="C68" s="2">
        <v>3.5999999999999997E-2</v>
      </c>
      <c r="E68" s="5" t="s">
        <v>44</v>
      </c>
      <c r="F68" s="2">
        <v>0.7</v>
      </c>
      <c r="G68" s="2">
        <v>0.75</v>
      </c>
      <c r="I68" s="5" t="s">
        <v>107</v>
      </c>
      <c r="J68" s="2">
        <v>0.5</v>
      </c>
      <c r="K68" s="2">
        <v>0.6</v>
      </c>
      <c r="M68" s="5" t="s">
        <v>108</v>
      </c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spans="1:39" x14ac:dyDescent="0.3">
      <c r="A69" s="2">
        <f>(B69+C69)/2</f>
        <v>16.125</v>
      </c>
      <c r="B69" s="2">
        <f>B68*G20+12</f>
        <v>15.75</v>
      </c>
      <c r="C69" s="2">
        <f>C68*G20+12</f>
        <v>16.5</v>
      </c>
      <c r="E69" s="2">
        <f>(F69+G69)/2</f>
        <v>11.6</v>
      </c>
      <c r="F69" s="2">
        <f>F68*A70</f>
        <v>11.2</v>
      </c>
      <c r="G69" s="2">
        <f>G68*A70</f>
        <v>12</v>
      </c>
      <c r="I69" s="2">
        <f>(J69+K69)/2</f>
        <v>8.8000000000000007</v>
      </c>
      <c r="J69" s="2">
        <f>J68*A70</f>
        <v>8</v>
      </c>
      <c r="K69" s="2">
        <f>K68*A70</f>
        <v>9.6</v>
      </c>
      <c r="M69" s="1">
        <v>8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8"/>
      <c r="AL69" s="16"/>
      <c r="AM69" s="16"/>
    </row>
    <row r="70" spans="1:39" x14ac:dyDescent="0.3">
      <c r="A70" s="1">
        <v>16</v>
      </c>
      <c r="E70" s="1">
        <v>12</v>
      </c>
      <c r="I70" s="1">
        <v>8</v>
      </c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</row>
    <row r="71" spans="1:39" x14ac:dyDescent="0.3"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x14ac:dyDescent="0.3">
      <c r="A72" s="6">
        <v>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x14ac:dyDescent="0.3"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</row>
    <row r="74" spans="1:39" x14ac:dyDescent="0.3">
      <c r="B74" s="1" t="s">
        <v>27</v>
      </c>
      <c r="D74" s="2" t="s">
        <v>28</v>
      </c>
      <c r="F74" s="4" t="s">
        <v>29</v>
      </c>
      <c r="G74" s="4"/>
      <c r="H74" s="4" t="s">
        <v>30</v>
      </c>
      <c r="J74" s="2" t="s">
        <v>34</v>
      </c>
      <c r="L74" s="7" t="s">
        <v>31</v>
      </c>
      <c r="AB74" s="16"/>
    </row>
    <row r="75" spans="1:39" x14ac:dyDescent="0.3">
      <c r="A75" s="2" t="s">
        <v>32</v>
      </c>
      <c r="B75" s="4">
        <v>260</v>
      </c>
      <c r="D75" s="2">
        <f>2*B75+70</f>
        <v>590</v>
      </c>
      <c r="F75" s="2">
        <v>1.1000000000000001</v>
      </c>
      <c r="H75" s="2">
        <v>1</v>
      </c>
      <c r="J75" s="2">
        <f>D75*H75/F75</f>
        <v>536.36363636363637</v>
      </c>
      <c r="L75" s="7">
        <f>0.45*(J75+J76)</f>
        <v>466.36363636363632</v>
      </c>
      <c r="AB75" s="16"/>
    </row>
    <row r="76" spans="1:39" x14ac:dyDescent="0.3">
      <c r="A76" s="2" t="s">
        <v>33</v>
      </c>
      <c r="B76" s="4">
        <v>240</v>
      </c>
      <c r="D76" s="2">
        <f>2*B76+70</f>
        <v>550</v>
      </c>
      <c r="H76" s="4"/>
      <c r="J76" s="2">
        <f>D76*H75/F75</f>
        <v>499.99999999999994</v>
      </c>
      <c r="L76" s="4"/>
      <c r="M76" s="4"/>
      <c r="AB76" s="16"/>
    </row>
    <row r="77" spans="1:39" x14ac:dyDescent="0.3">
      <c r="H77" s="4"/>
      <c r="L77" s="4"/>
      <c r="M77" s="4"/>
      <c r="AB77" s="16"/>
    </row>
    <row r="78" spans="1:39" x14ac:dyDescent="0.3">
      <c r="G78" s="1">
        <v>100</v>
      </c>
      <c r="H78" s="4"/>
      <c r="L78" s="1">
        <v>2</v>
      </c>
      <c r="M78" s="4"/>
      <c r="AB78" s="16"/>
    </row>
    <row r="79" spans="1:39" x14ac:dyDescent="0.3">
      <c r="A79" s="4" t="s">
        <v>35</v>
      </c>
      <c r="B79" s="4"/>
      <c r="C79" s="4" t="s">
        <v>81</v>
      </c>
      <c r="E79" s="2" t="s">
        <v>37</v>
      </c>
      <c r="G79" s="1" t="s">
        <v>36</v>
      </c>
      <c r="I79" s="2">
        <v>0.01</v>
      </c>
      <c r="J79" s="2">
        <v>0.02</v>
      </c>
      <c r="L79" s="1" t="s">
        <v>38</v>
      </c>
      <c r="AB79" s="16"/>
    </row>
    <row r="80" spans="1:39" x14ac:dyDescent="0.3">
      <c r="A80" s="4">
        <v>1.1499999999999999</v>
      </c>
      <c r="B80" s="4"/>
      <c r="C80" s="4">
        <v>0.4</v>
      </c>
      <c r="E80" s="2">
        <v>43</v>
      </c>
      <c r="G80" s="2">
        <f>E80*(K8+1)*(K11*1000*A80/(L75^2*K8^2*C80))^(1/3)</f>
        <v>100.71798563602822</v>
      </c>
      <c r="I80" s="2">
        <f>G78*I79</f>
        <v>1</v>
      </c>
      <c r="J80" s="2">
        <f>G78*J79</f>
        <v>2</v>
      </c>
      <c r="L80" s="2">
        <f>(I80+J80)/2</f>
        <v>1.5</v>
      </c>
      <c r="AB80" s="16"/>
    </row>
    <row r="81" spans="1:28" x14ac:dyDescent="0.3">
      <c r="AB81" s="16"/>
    </row>
    <row r="82" spans="1:28" x14ac:dyDescent="0.3">
      <c r="A82" s="5" t="s">
        <v>39</v>
      </c>
      <c r="C82" s="5" t="s">
        <v>40</v>
      </c>
      <c r="E82" s="2" t="s">
        <v>41</v>
      </c>
      <c r="G82" s="2" t="s">
        <v>42</v>
      </c>
      <c r="I82" s="5" t="s">
        <v>43</v>
      </c>
      <c r="K82" s="5" t="s">
        <v>44</v>
      </c>
      <c r="M82" s="2" t="s">
        <v>36</v>
      </c>
      <c r="AB82" s="16"/>
    </row>
    <row r="83" spans="1:28" x14ac:dyDescent="0.3">
      <c r="A83" s="2">
        <f>2*G78*COS(0*PI()/180)/(K8+1)/L78</f>
        <v>20</v>
      </c>
      <c r="E83" s="2">
        <f>(A84+C84)*L78/(2*G78)</f>
        <v>1</v>
      </c>
      <c r="G83" s="2">
        <f>ACOS(E83)*180/PI()</f>
        <v>0</v>
      </c>
      <c r="I83" s="5">
        <f>L78*A84/E83</f>
        <v>40</v>
      </c>
      <c r="K83" s="5">
        <f>C84*L78/E83</f>
        <v>160</v>
      </c>
      <c r="M83" s="2">
        <f>(I83+K83)/2</f>
        <v>100</v>
      </c>
      <c r="AB83" s="16"/>
    </row>
    <row r="84" spans="1:28" x14ac:dyDescent="0.3">
      <c r="A84" s="5">
        <v>20</v>
      </c>
      <c r="C84" s="5">
        <f>A84*K8</f>
        <v>80</v>
      </c>
      <c r="AB84" s="16"/>
    </row>
    <row r="85" spans="1:28" x14ac:dyDescent="0.3">
      <c r="H85" s="2" t="s">
        <v>93</v>
      </c>
      <c r="AB85" s="16"/>
    </row>
    <row r="86" spans="1:28" x14ac:dyDescent="0.3">
      <c r="A86" s="5" t="s">
        <v>45</v>
      </c>
      <c r="C86" s="5" t="s">
        <v>46</v>
      </c>
      <c r="E86" s="2" t="s">
        <v>47</v>
      </c>
      <c r="G86" s="2" t="s">
        <v>48</v>
      </c>
      <c r="I86" s="5" t="s">
        <v>49</v>
      </c>
      <c r="K86" s="5" t="s">
        <v>50</v>
      </c>
      <c r="M86" s="2" t="s">
        <v>67</v>
      </c>
      <c r="AB86" s="16"/>
    </row>
    <row r="87" spans="1:28" x14ac:dyDescent="0.3">
      <c r="A87" s="5">
        <f>I83+2*L78</f>
        <v>44</v>
      </c>
      <c r="C87" s="5">
        <f>K83+2*L78</f>
        <v>164</v>
      </c>
      <c r="E87" s="2">
        <f>I83-2.5*L78</f>
        <v>35</v>
      </c>
      <c r="G87" s="2">
        <f>K83-2.5*L78</f>
        <v>155</v>
      </c>
      <c r="I87" s="5">
        <f>G78*C80</f>
        <v>40</v>
      </c>
      <c r="K87" s="5">
        <f>I87+5</f>
        <v>45</v>
      </c>
      <c r="M87" s="2">
        <f>K87/I83</f>
        <v>1.125</v>
      </c>
      <c r="AB87" s="16"/>
    </row>
    <row r="88" spans="1:28" ht="15" customHeight="1" x14ac:dyDescent="0.3">
      <c r="AB88" s="16"/>
    </row>
    <row r="89" spans="1:28" x14ac:dyDescent="0.3">
      <c r="A89" s="1" t="s">
        <v>51</v>
      </c>
      <c r="C89" s="1" t="s">
        <v>52</v>
      </c>
      <c r="E89" s="1" t="s">
        <v>53</v>
      </c>
      <c r="G89" s="2" t="s">
        <v>54</v>
      </c>
      <c r="I89" s="5" t="s">
        <v>55</v>
      </c>
      <c r="K89" s="4" t="s">
        <v>58</v>
      </c>
      <c r="AB89" s="16"/>
    </row>
    <row r="90" spans="1:28" x14ac:dyDescent="0.3">
      <c r="A90" s="2">
        <v>1</v>
      </c>
      <c r="C90" s="2">
        <v>1.06</v>
      </c>
      <c r="E90" s="2">
        <v>1</v>
      </c>
      <c r="G90" s="2">
        <f>A90*C90*E90</f>
        <v>1.06</v>
      </c>
      <c r="I90" s="5">
        <f>270/G78*SQRT(K11*1000*G90*(K8+1)^3/I87/K8^2)</f>
        <v>433.36149431791205</v>
      </c>
      <c r="K90" s="4">
        <v>20</v>
      </c>
      <c r="M90" s="9"/>
      <c r="AB90" s="16"/>
    </row>
    <row r="91" spans="1:28" x14ac:dyDescent="0.3">
      <c r="AB91" s="16"/>
    </row>
    <row r="92" spans="1:28" x14ac:dyDescent="0.3">
      <c r="A92" s="13" t="s">
        <v>56</v>
      </c>
      <c r="B92" s="13"/>
      <c r="C92" s="13" t="s">
        <v>57</v>
      </c>
      <c r="D92" s="13"/>
      <c r="E92" s="13" t="s">
        <v>59</v>
      </c>
      <c r="F92" s="13"/>
      <c r="G92" s="14" t="s">
        <v>68</v>
      </c>
      <c r="H92" s="13"/>
      <c r="I92" s="14" t="s">
        <v>80</v>
      </c>
      <c r="J92" s="13"/>
      <c r="K92" s="13"/>
      <c r="L92" s="13"/>
      <c r="M92" s="13"/>
      <c r="AB92" s="17"/>
    </row>
    <row r="93" spans="1:28" x14ac:dyDescent="0.3">
      <c r="A93" s="13">
        <f>2*K10*1000/I83</f>
        <v>1619.7212940018173</v>
      </c>
      <c r="B93" s="13"/>
      <c r="C93" s="13">
        <f>A93*TAN(K90*PI()/180)/E83</f>
        <v>589.53033882379782</v>
      </c>
      <c r="D93" s="13"/>
      <c r="E93" s="13">
        <f>C93*TAN(G83*PI()/180)</f>
        <v>0</v>
      </c>
      <c r="F93" s="13"/>
      <c r="G93" s="14">
        <f>A93*E96*K96*G102*E102/K87/L78</f>
        <v>83.127216271406169</v>
      </c>
      <c r="H93" s="13"/>
      <c r="I93" s="14">
        <f>A93*E96*M96*G102*E102/I87/L78</f>
        <v>82.314236161172374</v>
      </c>
      <c r="J93" s="13"/>
      <c r="K93" s="13"/>
      <c r="L93" s="13"/>
      <c r="M93" s="13"/>
      <c r="AB93" s="16"/>
    </row>
    <row r="94" spans="1:28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AB94" s="16"/>
    </row>
    <row r="95" spans="1:28" x14ac:dyDescent="0.3">
      <c r="A95" s="15" t="s">
        <v>60</v>
      </c>
      <c r="B95" s="13"/>
      <c r="C95" s="15" t="s">
        <v>61</v>
      </c>
      <c r="D95" s="13"/>
      <c r="E95" s="13" t="s">
        <v>62</v>
      </c>
      <c r="F95" s="13"/>
      <c r="G95" s="13" t="s">
        <v>64</v>
      </c>
      <c r="H95" s="13"/>
      <c r="I95" s="13" t="s">
        <v>63</v>
      </c>
      <c r="J95" s="13"/>
      <c r="K95" s="15" t="s">
        <v>65</v>
      </c>
      <c r="L95" s="13"/>
      <c r="M95" s="15" t="s">
        <v>66</v>
      </c>
      <c r="AB95" s="16"/>
    </row>
    <row r="96" spans="1:28" x14ac:dyDescent="0.3">
      <c r="A96" s="16">
        <v>1.1200000000000001</v>
      </c>
      <c r="B96" s="13"/>
      <c r="C96" s="16">
        <v>1.1000000000000001</v>
      </c>
      <c r="D96" s="13"/>
      <c r="E96" s="13">
        <f>A96*C96</f>
        <v>1.2320000000000002</v>
      </c>
      <c r="F96" s="13"/>
      <c r="G96" s="13">
        <f>A84/E83^3</f>
        <v>20</v>
      </c>
      <c r="H96" s="13"/>
      <c r="I96" s="13">
        <f>C84/E83^3</f>
        <v>80</v>
      </c>
      <c r="J96" s="13"/>
      <c r="K96" s="13">
        <v>4.09</v>
      </c>
      <c r="L96" s="13"/>
      <c r="M96" s="13">
        <v>3.6</v>
      </c>
      <c r="AB96" s="16"/>
    </row>
    <row r="97" spans="1:28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AB97" s="16"/>
    </row>
    <row r="98" spans="1:28" x14ac:dyDescent="0.3">
      <c r="A98" s="15" t="s">
        <v>82</v>
      </c>
      <c r="B98" s="13"/>
      <c r="C98" s="15" t="s">
        <v>83</v>
      </c>
      <c r="D98" s="13"/>
      <c r="E98" s="13" t="s">
        <v>70</v>
      </c>
      <c r="F98" s="13"/>
      <c r="G98" s="13" t="s">
        <v>72</v>
      </c>
      <c r="H98" s="13"/>
      <c r="I98" s="13" t="s">
        <v>73</v>
      </c>
      <c r="J98" s="13"/>
      <c r="K98" s="13" t="s">
        <v>69</v>
      </c>
      <c r="L98" s="13"/>
      <c r="M98" s="19" t="s">
        <v>71</v>
      </c>
      <c r="AB98" s="16"/>
    </row>
    <row r="99" spans="1:28" x14ac:dyDescent="0.3">
      <c r="A99" s="16">
        <v>1.75</v>
      </c>
      <c r="B99" s="13"/>
      <c r="C99" s="16">
        <v>1</v>
      </c>
      <c r="D99" s="13"/>
      <c r="E99" s="13">
        <f>A99*C99</f>
        <v>1.75</v>
      </c>
      <c r="F99" s="13"/>
      <c r="G99" s="13">
        <f>1.8*B75</f>
        <v>468</v>
      </c>
      <c r="H99" s="13"/>
      <c r="I99" s="13">
        <f>1.8*B76</f>
        <v>432</v>
      </c>
      <c r="J99" s="13"/>
      <c r="K99" s="13">
        <f>G99/E99</f>
        <v>267.42857142857144</v>
      </c>
      <c r="L99" s="13"/>
      <c r="M99" s="20">
        <f>I99/E99</f>
        <v>246.85714285714286</v>
      </c>
      <c r="AB99" s="16"/>
    </row>
    <row r="100" spans="1:28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AB100" s="18"/>
    </row>
    <row r="101" spans="1:28" x14ac:dyDescent="0.3">
      <c r="A101" s="13" t="s">
        <v>74</v>
      </c>
      <c r="B101" s="13"/>
      <c r="C101" s="13" t="s">
        <v>75</v>
      </c>
      <c r="D101" s="13"/>
      <c r="E101" s="13" t="s">
        <v>76</v>
      </c>
      <c r="F101" s="13"/>
      <c r="G101" s="13" t="s">
        <v>77</v>
      </c>
      <c r="H101" s="13"/>
      <c r="I101" s="15" t="s">
        <v>78</v>
      </c>
      <c r="J101" s="13"/>
      <c r="K101" s="15" t="s">
        <v>79</v>
      </c>
      <c r="L101" s="13"/>
      <c r="M101" s="13"/>
      <c r="AB101" s="16"/>
    </row>
    <row r="102" spans="1:28" x14ac:dyDescent="0.3">
      <c r="A102" s="13">
        <f>K99/K96</f>
        <v>65.385958784491791</v>
      </c>
      <c r="B102" s="13"/>
      <c r="C102" s="13">
        <f>M99/M96</f>
        <v>68.571428571428569</v>
      </c>
      <c r="D102" s="13"/>
      <c r="E102" s="13">
        <f>1-G83/140</f>
        <v>1</v>
      </c>
      <c r="F102" s="13"/>
      <c r="G102" s="13">
        <f>(4+(I102-1)*(K102-5))/4/I102</f>
        <v>0.91666666666666663</v>
      </c>
      <c r="H102" s="13"/>
      <c r="I102" s="16">
        <f>1.5</f>
        <v>1.5</v>
      </c>
      <c r="J102" s="16"/>
      <c r="K102" s="16">
        <v>8</v>
      </c>
      <c r="L102" s="13"/>
      <c r="M102" s="13"/>
      <c r="AB102" s="16"/>
    </row>
    <row r="103" spans="1:28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AB103" s="16"/>
    </row>
    <row r="104" spans="1:28" x14ac:dyDescent="0.3">
      <c r="A104" s="6">
        <v>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AB104" s="16"/>
    </row>
    <row r="106" spans="1:28" x14ac:dyDescent="0.3">
      <c r="A106" s="1" t="s">
        <v>109</v>
      </c>
      <c r="B106" s="1" t="s">
        <v>112</v>
      </c>
      <c r="C106" s="1" t="s">
        <v>2</v>
      </c>
      <c r="D106" s="1" t="s">
        <v>113</v>
      </c>
      <c r="E106" s="1" t="s">
        <v>114</v>
      </c>
      <c r="F106" s="1" t="s">
        <v>115</v>
      </c>
      <c r="G106" s="1" t="s">
        <v>116</v>
      </c>
      <c r="J106" s="4"/>
      <c r="K106" s="4"/>
    </row>
    <row r="107" spans="1:28" x14ac:dyDescent="0.3">
      <c r="A107" s="1" t="s">
        <v>110</v>
      </c>
      <c r="B107" s="1" t="s">
        <v>112</v>
      </c>
      <c r="C107" s="1" t="s">
        <v>2</v>
      </c>
      <c r="D107" s="1" t="s">
        <v>113</v>
      </c>
      <c r="E107" s="1" t="s">
        <v>114</v>
      </c>
      <c r="F107" s="1" t="s">
        <v>101</v>
      </c>
      <c r="G107" s="1" t="s">
        <v>117</v>
      </c>
      <c r="H107" s="4"/>
    </row>
    <row r="108" spans="1:28" x14ac:dyDescent="0.3">
      <c r="A108" s="1" t="s">
        <v>111</v>
      </c>
      <c r="B108" s="1"/>
      <c r="C108" s="1" t="s">
        <v>119</v>
      </c>
      <c r="D108" s="1"/>
      <c r="E108" s="1"/>
      <c r="F108" s="1" t="s">
        <v>118</v>
      </c>
      <c r="G108" s="1"/>
    </row>
    <row r="109" spans="1:28" x14ac:dyDescent="0.3">
      <c r="A109" s="5">
        <v>203</v>
      </c>
      <c r="B109" s="5">
        <f>J49</f>
        <v>17</v>
      </c>
      <c r="C109" s="5">
        <v>40</v>
      </c>
      <c r="D109" s="5">
        <v>12</v>
      </c>
      <c r="E109" s="5">
        <v>1</v>
      </c>
      <c r="F109" s="5">
        <v>9.56</v>
      </c>
      <c r="G109" s="5">
        <v>4.5</v>
      </c>
      <c r="H109" s="4"/>
    </row>
    <row r="110" spans="1:28" x14ac:dyDescent="0.3">
      <c r="A110" s="5">
        <v>205</v>
      </c>
      <c r="B110" s="5">
        <f>K49</f>
        <v>25</v>
      </c>
      <c r="C110" s="5">
        <v>52</v>
      </c>
      <c r="D110" s="5">
        <v>15</v>
      </c>
      <c r="E110" s="5">
        <v>1.5</v>
      </c>
      <c r="F110" s="5">
        <v>14</v>
      </c>
      <c r="G110" s="5">
        <v>6.95</v>
      </c>
      <c r="H110" s="4"/>
    </row>
    <row r="112" spans="1:28" x14ac:dyDescent="0.3">
      <c r="A112" s="6">
        <v>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4" spans="1:13" x14ac:dyDescent="0.3">
      <c r="A114" s="2" t="s">
        <v>56</v>
      </c>
      <c r="B114" s="2" t="s">
        <v>57</v>
      </c>
      <c r="C114" s="2" t="s">
        <v>59</v>
      </c>
      <c r="D114" s="2" t="s">
        <v>120</v>
      </c>
      <c r="E114" s="2" t="s">
        <v>121</v>
      </c>
      <c r="G114" s="2" t="s">
        <v>124</v>
      </c>
      <c r="I114" s="2" t="s">
        <v>125</v>
      </c>
      <c r="K114" s="2" t="s">
        <v>126</v>
      </c>
      <c r="M114" s="2" t="s">
        <v>127</v>
      </c>
    </row>
    <row r="115" spans="1:13" x14ac:dyDescent="0.3">
      <c r="A115" s="2">
        <f>A35</f>
        <v>1295.7770352014538</v>
      </c>
      <c r="B115" s="2">
        <f>C35</f>
        <v>491.27528235316487</v>
      </c>
      <c r="C115" s="2">
        <f>E35</f>
        <v>143.28862401967322</v>
      </c>
      <c r="D115" s="2">
        <f>(K29+5+D109)/2</f>
        <v>36</v>
      </c>
      <c r="E115" s="2">
        <f>(K29+5+D110)/2</f>
        <v>37.5</v>
      </c>
      <c r="G115" s="2">
        <f>A35/2</f>
        <v>647.88851760072691</v>
      </c>
      <c r="I115" s="2">
        <f>A35/2</f>
        <v>647.88851760072691</v>
      </c>
      <c r="K115" s="2">
        <f>1/2/D115*(C35*D115+E35*I25/2)</f>
        <v>295.39063562785788</v>
      </c>
      <c r="M115" s="2">
        <f>1/2/D115*(C35*D115-E35*I25/2)</f>
        <v>195.88464672530702</v>
      </c>
    </row>
    <row r="117" spans="1:13" x14ac:dyDescent="0.3">
      <c r="A117" s="2" t="s">
        <v>128</v>
      </c>
      <c r="C117" s="2" t="s">
        <v>129</v>
      </c>
      <c r="E117" s="2" t="s">
        <v>130</v>
      </c>
      <c r="G117" s="2" t="s">
        <v>131</v>
      </c>
      <c r="I117" s="2" t="s">
        <v>1</v>
      </c>
      <c r="K117" s="2" t="s">
        <v>132</v>
      </c>
      <c r="M117" s="2" t="s">
        <v>133</v>
      </c>
    </row>
    <row r="118" spans="1:13" x14ac:dyDescent="0.3">
      <c r="A118" s="2">
        <f>K115+M115-C35</f>
        <v>0</v>
      </c>
      <c r="C118" s="2">
        <f>SQRT(G115^2+K115^2)</f>
        <v>712.04996935292206</v>
      </c>
      <c r="E118" s="2">
        <f>SQRT(I115^2+M115^2)</f>
        <v>676.85325297405916</v>
      </c>
      <c r="G118" s="2">
        <f>E35</f>
        <v>143.28862401967322</v>
      </c>
      <c r="I118" s="2">
        <v>1</v>
      </c>
      <c r="K118" s="2">
        <v>1</v>
      </c>
      <c r="M118" s="2">
        <v>1</v>
      </c>
    </row>
    <row r="120" spans="1:13" x14ac:dyDescent="0.3">
      <c r="A120" s="2" t="s">
        <v>134</v>
      </c>
      <c r="C120" s="1" t="s">
        <v>123</v>
      </c>
      <c r="E120" s="2" t="s">
        <v>135</v>
      </c>
      <c r="G120" s="1" t="s">
        <v>136</v>
      </c>
      <c r="I120" s="1" t="s">
        <v>137</v>
      </c>
      <c r="K120" s="2" t="s">
        <v>138</v>
      </c>
      <c r="M120" s="2" t="s">
        <v>139</v>
      </c>
    </row>
    <row r="121" spans="1:13" x14ac:dyDescent="0.3">
      <c r="A121" s="2">
        <f>G118/G109/1000</f>
        <v>3.1841916448816274E-2</v>
      </c>
      <c r="C121" s="2">
        <v>0.20499999999999999</v>
      </c>
      <c r="E121" s="2">
        <f>G118/C118</f>
        <v>0.20123394450797782</v>
      </c>
      <c r="G121" s="2">
        <v>1</v>
      </c>
      <c r="I121" s="2">
        <v>0</v>
      </c>
      <c r="K121" s="2">
        <f>(G121*I118*C118+I121*G118)*K118*M118</f>
        <v>712.04996935292206</v>
      </c>
      <c r="M121" s="2">
        <f>(F109*1000/K121)^(3)</f>
        <v>2420.1498682494625</v>
      </c>
    </row>
    <row r="123" spans="1:13" x14ac:dyDescent="0.3">
      <c r="A123" s="2" t="s">
        <v>140</v>
      </c>
    </row>
    <row r="124" spans="1:13" x14ac:dyDescent="0.3">
      <c r="A124" s="2">
        <f>M121*10^6/60/B10/1000</f>
        <v>42.458769618411623</v>
      </c>
    </row>
    <row r="126" spans="1:13" x14ac:dyDescent="0.3">
      <c r="A126" s="2" t="s">
        <v>56</v>
      </c>
      <c r="B126" s="2" t="s">
        <v>57</v>
      </c>
      <c r="C126" s="2" t="s">
        <v>59</v>
      </c>
      <c r="D126" s="2" t="s">
        <v>120</v>
      </c>
      <c r="E126" s="2" t="s">
        <v>121</v>
      </c>
      <c r="F126" s="2" t="s">
        <v>141</v>
      </c>
      <c r="G126" s="2" t="s">
        <v>142</v>
      </c>
      <c r="I126" s="2" t="s">
        <v>144</v>
      </c>
      <c r="K126" s="2" t="s">
        <v>143</v>
      </c>
      <c r="M126" s="2" t="s">
        <v>145</v>
      </c>
    </row>
    <row r="127" spans="1:13" x14ac:dyDescent="0.3">
      <c r="A127" s="2">
        <f>A115</f>
        <v>1295.7770352014538</v>
      </c>
      <c r="B127" s="2">
        <f>B115</f>
        <v>491.27528235316487</v>
      </c>
      <c r="C127" s="2">
        <f>C115</f>
        <v>143.28862401967322</v>
      </c>
      <c r="D127" s="2">
        <f>D115</f>
        <v>36</v>
      </c>
      <c r="E127" s="2">
        <f>E115</f>
        <v>37.5</v>
      </c>
      <c r="F127" s="2">
        <f>E127</f>
        <v>37.5</v>
      </c>
      <c r="G127" s="2">
        <v>45</v>
      </c>
      <c r="I127" s="2">
        <v>2498</v>
      </c>
      <c r="K127" s="2">
        <f>I127*SIN(G127*PI()/180)</f>
        <v>1766.3527394039957</v>
      </c>
      <c r="M127" s="2">
        <f>1/2/E127*(A127*E127-K127*F127)</f>
        <v>-235.28785210127091</v>
      </c>
    </row>
    <row r="129" spans="1:13" x14ac:dyDescent="0.3">
      <c r="A129" s="2" t="s">
        <v>146</v>
      </c>
      <c r="C129" s="2" t="s">
        <v>128</v>
      </c>
      <c r="E129" s="2" t="s">
        <v>147</v>
      </c>
      <c r="G129" s="2" t="s">
        <v>148</v>
      </c>
      <c r="I129" s="2" t="s">
        <v>149</v>
      </c>
      <c r="K129" s="2" t="s">
        <v>150</v>
      </c>
    </row>
    <row r="130" spans="1:13" x14ac:dyDescent="0.3">
      <c r="A130" s="2">
        <f>1/2/E127*(A127*E127+K127*(F127+2*E127))</f>
        <v>3297.4176267067205</v>
      </c>
      <c r="C130" s="2">
        <f>M127+A130-(K127+A127)</f>
        <v>0</v>
      </c>
      <c r="E130" s="2">
        <f>1/2/E127*(B127*E127-C127*K25/2+K127*F127)</f>
        <v>937.76251218568268</v>
      </c>
      <c r="G130" s="2">
        <f>1/2/D127*(B127*D127-C127*I25/2+K127*(F127+2*E127))</f>
        <v>2955.81080204405</v>
      </c>
      <c r="I130" s="2">
        <f>SQRT(M127^2+E130^2)</f>
        <v>966.82930375906176</v>
      </c>
      <c r="K130" s="2">
        <f>SQRT(A130^2+G130^2)</f>
        <v>4428.2931816216133</v>
      </c>
    </row>
    <row r="132" spans="1:13" x14ac:dyDescent="0.3">
      <c r="A132" s="2" t="s">
        <v>151</v>
      </c>
      <c r="C132" s="1" t="s">
        <v>123</v>
      </c>
      <c r="E132" s="2" t="s">
        <v>152</v>
      </c>
      <c r="G132" s="1" t="s">
        <v>136</v>
      </c>
      <c r="I132" s="1" t="s">
        <v>137</v>
      </c>
      <c r="K132" s="2" t="s">
        <v>138</v>
      </c>
      <c r="M132" s="2" t="s">
        <v>139</v>
      </c>
    </row>
    <row r="133" spans="1:13" x14ac:dyDescent="0.3">
      <c r="A133" s="2">
        <f>C127/G110/1000</f>
        <v>2.0617068204269531E-2</v>
      </c>
      <c r="C133" s="2">
        <v>0.19</v>
      </c>
      <c r="E133" s="2">
        <f>C127/K130</f>
        <v>3.2357528768499878E-2</v>
      </c>
      <c r="G133" s="2">
        <v>1</v>
      </c>
      <c r="I133" s="2">
        <v>0</v>
      </c>
      <c r="K133" s="2">
        <f>G133*I118*K130*K118*M118</f>
        <v>4428.2931816216133</v>
      </c>
      <c r="M133" s="2">
        <f>(F110*1000/K133)^3</f>
        <v>31.599121461248398</v>
      </c>
    </row>
    <row r="135" spans="1:13" x14ac:dyDescent="0.3">
      <c r="A135" s="2" t="s">
        <v>140</v>
      </c>
    </row>
    <row r="136" spans="1:13" x14ac:dyDescent="0.3">
      <c r="A136" s="2">
        <f>M133*1000000/60/B10/1000</f>
        <v>0.55437055195172624</v>
      </c>
    </row>
    <row r="138" spans="1:13" x14ac:dyDescent="0.3">
      <c r="A138" s="6">
        <v>10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40" spans="1:13" x14ac:dyDescent="0.3">
      <c r="A140" s="2" t="s">
        <v>23</v>
      </c>
      <c r="B140" s="4" t="s">
        <v>112</v>
      </c>
      <c r="C140" s="1" t="s">
        <v>105</v>
      </c>
      <c r="D140" s="1" t="s">
        <v>154</v>
      </c>
      <c r="E140" s="1" t="s">
        <v>155</v>
      </c>
      <c r="F140" s="1" t="s">
        <v>156</v>
      </c>
      <c r="G140" s="4"/>
      <c r="H140" s="5" t="s">
        <v>153</v>
      </c>
      <c r="I140" s="4"/>
      <c r="J140" s="4" t="s">
        <v>112</v>
      </c>
      <c r="K140" s="1" t="s">
        <v>105</v>
      </c>
      <c r="L140" s="1" t="s">
        <v>154</v>
      </c>
      <c r="M140" s="1" t="s">
        <v>156</v>
      </c>
    </row>
    <row r="141" spans="1:13" x14ac:dyDescent="0.3">
      <c r="A141" s="2">
        <f>K10</f>
        <v>32.394425880036344</v>
      </c>
      <c r="B141" s="2">
        <f>E50</f>
        <v>20</v>
      </c>
      <c r="C141" s="2">
        <v>6</v>
      </c>
      <c r="D141" s="2">
        <v>6</v>
      </c>
      <c r="E141" s="2">
        <v>28</v>
      </c>
      <c r="F141" s="2">
        <v>3.5</v>
      </c>
      <c r="H141" s="5">
        <f>2*A141*1000/B141/(D141-F141)/(E141-C141)</f>
        <v>58.898956145520629</v>
      </c>
      <c r="J141" s="2">
        <f>M49</f>
        <v>22</v>
      </c>
      <c r="K141" s="2">
        <v>8</v>
      </c>
      <c r="L141" s="2">
        <v>7</v>
      </c>
      <c r="M141" s="2">
        <v>4</v>
      </c>
    </row>
    <row r="142" spans="1:13" x14ac:dyDescent="0.3">
      <c r="D142" s="11"/>
    </row>
    <row r="143" spans="1:13" x14ac:dyDescent="0.3">
      <c r="A143" s="2" t="s">
        <v>24</v>
      </c>
      <c r="B143" s="4" t="s">
        <v>112</v>
      </c>
      <c r="C143" s="1" t="s">
        <v>105</v>
      </c>
      <c r="D143" s="1" t="s">
        <v>154</v>
      </c>
      <c r="E143" s="1" t="s">
        <v>155</v>
      </c>
      <c r="F143" s="1" t="s">
        <v>156</v>
      </c>
      <c r="G143" s="4"/>
      <c r="H143" s="5" t="s">
        <v>153</v>
      </c>
      <c r="J143" s="1" t="s">
        <v>155</v>
      </c>
      <c r="K143" s="5" t="s">
        <v>153</v>
      </c>
    </row>
    <row r="144" spans="1:13" x14ac:dyDescent="0.3">
      <c r="A144" s="2">
        <f>K11</f>
        <v>124.43346869039561</v>
      </c>
      <c r="B144" s="2">
        <f>F50</f>
        <v>28</v>
      </c>
      <c r="C144" s="2">
        <v>8</v>
      </c>
      <c r="D144" s="2">
        <v>7</v>
      </c>
      <c r="E144" s="2">
        <v>50</v>
      </c>
      <c r="F144" s="2">
        <v>4</v>
      </c>
      <c r="H144" s="5">
        <f>2*A144*1000/B144/(D144-F144)/(E144-C144)</f>
        <v>70.540515130609762</v>
      </c>
      <c r="J144" s="2">
        <v>45</v>
      </c>
      <c r="K144" s="5">
        <f>2*A144*1000/J141/(L141-M141)/(J144-K141)</f>
        <v>101.91111276854677</v>
      </c>
    </row>
    <row r="146" spans="1:13" x14ac:dyDescent="0.3">
      <c r="A146" s="6">
        <v>11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3">
      <c r="A148" s="1" t="s">
        <v>157</v>
      </c>
      <c r="B148" s="1"/>
      <c r="C148" s="2" t="s">
        <v>158</v>
      </c>
      <c r="E148" s="2" t="s">
        <v>159</v>
      </c>
      <c r="G148" s="2" t="s">
        <v>164</v>
      </c>
      <c r="I148" s="2" t="s">
        <v>165</v>
      </c>
      <c r="K148" s="5" t="s">
        <v>175</v>
      </c>
    </row>
    <row r="149" spans="1:13" x14ac:dyDescent="0.3">
      <c r="A149" s="2">
        <v>780</v>
      </c>
      <c r="C149" s="2">
        <f>0.43*A149</f>
        <v>335.4</v>
      </c>
      <c r="E149" s="2">
        <f>0.58*C149</f>
        <v>194.53199999999998</v>
      </c>
      <c r="G149" s="2">
        <f>I115*80</f>
        <v>51831.081408058155</v>
      </c>
      <c r="I149" s="2">
        <f>M115*80</f>
        <v>15670.771738024561</v>
      </c>
      <c r="K149" s="2">
        <f>SQRT(G149^2+I149^2)</f>
        <v>54148.26023792474</v>
      </c>
    </row>
    <row r="151" spans="1:13" x14ac:dyDescent="0.3">
      <c r="A151" s="2" t="s">
        <v>112</v>
      </c>
      <c r="B151" s="2" t="s">
        <v>105</v>
      </c>
      <c r="C151" s="2" t="s">
        <v>156</v>
      </c>
      <c r="E151" s="2" t="s">
        <v>160</v>
      </c>
      <c r="G151" s="2" t="s">
        <v>161</v>
      </c>
      <c r="I151" s="2" t="s">
        <v>162</v>
      </c>
      <c r="K151" s="2" t="s">
        <v>163</v>
      </c>
    </row>
    <row r="152" spans="1:13" x14ac:dyDescent="0.3">
      <c r="A152" s="2">
        <f>B141</f>
        <v>20</v>
      </c>
      <c r="B152" s="2">
        <f>6</f>
        <v>6</v>
      </c>
      <c r="C152" s="2">
        <f>3.5</f>
        <v>3.5</v>
      </c>
      <c r="E152" s="2">
        <f>PI()*A152^3/16-B152*C152*(A152-C152)^2/2/A152</f>
        <v>1427.8650767948964</v>
      </c>
      <c r="G152" s="2">
        <f>PI()*A152^3/32</f>
        <v>785.39816339744823</v>
      </c>
      <c r="I152" s="2">
        <f>A141*1000/2/E152</f>
        <v>11.343657887043342</v>
      </c>
      <c r="K152" s="2">
        <f>K149/G152</f>
        <v>68.943706213536416</v>
      </c>
    </row>
    <row r="153" spans="1:13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3">
      <c r="A154" s="1" t="s">
        <v>166</v>
      </c>
      <c r="C154" s="1" t="s">
        <v>167</v>
      </c>
      <c r="E154" s="1" t="s">
        <v>168</v>
      </c>
      <c r="G154" s="1" t="s">
        <v>169</v>
      </c>
      <c r="I154" s="4" t="s">
        <v>170</v>
      </c>
      <c r="J154" s="4"/>
      <c r="K154" s="4" t="s">
        <v>171</v>
      </c>
    </row>
    <row r="155" spans="1:13" x14ac:dyDescent="0.3">
      <c r="A155" s="2">
        <v>1.78</v>
      </c>
      <c r="C155" s="2">
        <v>1.68</v>
      </c>
      <c r="E155" s="2">
        <v>1.4</v>
      </c>
      <c r="G155" s="2">
        <v>1</v>
      </c>
      <c r="I155" s="2">
        <v>0.1</v>
      </c>
      <c r="K155" s="2">
        <v>0.15</v>
      </c>
    </row>
    <row r="157" spans="1:13" x14ac:dyDescent="0.3">
      <c r="A157" s="2" t="s">
        <v>172</v>
      </c>
      <c r="C157" s="2" t="s">
        <v>173</v>
      </c>
      <c r="E157" s="5" t="s">
        <v>174</v>
      </c>
    </row>
    <row r="158" spans="1:13" x14ac:dyDescent="0.3">
      <c r="A158" s="2">
        <f>E149/(C155/G155*I152+I155*I152)</f>
        <v>9.6342503923946694</v>
      </c>
      <c r="C158" s="2">
        <f>C149/(A155/E155*K152)</f>
        <v>3.8262775138884924</v>
      </c>
      <c r="E158" s="5">
        <f>C158*A158/SQRT(A158^2+C158^2)</f>
        <v>3.5560890946390122</v>
      </c>
    </row>
    <row r="159" spans="1:13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3">
      <c r="A160" s="1" t="s">
        <v>157</v>
      </c>
      <c r="B160" s="1"/>
      <c r="C160" s="4" t="s">
        <v>158</v>
      </c>
      <c r="D160" s="4"/>
      <c r="E160" s="4" t="s">
        <v>159</v>
      </c>
      <c r="F160" s="4"/>
      <c r="G160" s="1" t="s">
        <v>166</v>
      </c>
      <c r="H160" s="4"/>
      <c r="I160" s="1" t="s">
        <v>167</v>
      </c>
      <c r="J160" s="4"/>
      <c r="K160" s="1" t="s">
        <v>168</v>
      </c>
      <c r="L160" s="4"/>
      <c r="M160" s="1" t="s">
        <v>169</v>
      </c>
    </row>
    <row r="161" spans="1:13" x14ac:dyDescent="0.3">
      <c r="A161" s="4">
        <v>780</v>
      </c>
      <c r="B161" s="4"/>
      <c r="C161" s="4">
        <f>0.43*A161</f>
        <v>335.4</v>
      </c>
      <c r="D161" s="4"/>
      <c r="E161" s="4">
        <f>0.58*C161</f>
        <v>194.53199999999998</v>
      </c>
      <c r="F161" s="4"/>
      <c r="G161" s="2">
        <v>1.78</v>
      </c>
      <c r="I161" s="2">
        <v>1.68</v>
      </c>
      <c r="J161" s="4"/>
      <c r="K161" s="4">
        <v>1.4</v>
      </c>
      <c r="L161" s="4"/>
      <c r="M161" s="4">
        <v>1.2</v>
      </c>
    </row>
    <row r="162" spans="1:13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3">
      <c r="A163" s="4" t="s">
        <v>170</v>
      </c>
      <c r="B163" s="4"/>
      <c r="C163" s="4" t="s">
        <v>171</v>
      </c>
      <c r="D163" s="4"/>
      <c r="E163" s="4" t="s">
        <v>112</v>
      </c>
      <c r="F163" s="4" t="s">
        <v>105</v>
      </c>
      <c r="G163" s="4" t="s">
        <v>156</v>
      </c>
      <c r="H163" s="4"/>
      <c r="I163" s="4" t="s">
        <v>176</v>
      </c>
      <c r="J163" s="4"/>
      <c r="K163" s="4" t="s">
        <v>177</v>
      </c>
      <c r="L163" s="4"/>
      <c r="M163" s="5" t="s">
        <v>175</v>
      </c>
    </row>
    <row r="164" spans="1:13" x14ac:dyDescent="0.3">
      <c r="A164" s="4">
        <v>0.1</v>
      </c>
      <c r="B164" s="4"/>
      <c r="C164" s="4">
        <v>0.15</v>
      </c>
      <c r="D164" s="4"/>
      <c r="E164" s="4">
        <f>J141</f>
        <v>22</v>
      </c>
      <c r="F164" s="4">
        <f>K141</f>
        <v>8</v>
      </c>
      <c r="G164" s="4">
        <f>M141</f>
        <v>4</v>
      </c>
      <c r="H164" s="4"/>
      <c r="I164" s="4">
        <f>M127*-1*E127</f>
        <v>8823.29445379766</v>
      </c>
      <c r="J164" s="4"/>
      <c r="K164" s="4">
        <f>E130*E127+G118*K25/2</f>
        <v>49494.956608930421</v>
      </c>
      <c r="L164" s="4"/>
      <c r="M164" s="4">
        <f>SQRT(I164^2+K164^2)</f>
        <v>50275.254894812031</v>
      </c>
    </row>
    <row r="165" spans="1:13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3">
      <c r="A166" s="4" t="s">
        <v>160</v>
      </c>
      <c r="B166" s="4"/>
      <c r="C166" s="4" t="s">
        <v>161</v>
      </c>
      <c r="D166" s="4"/>
      <c r="E166" s="4" t="s">
        <v>162</v>
      </c>
      <c r="F166" s="4"/>
      <c r="G166" s="4" t="s">
        <v>157</v>
      </c>
      <c r="H166" s="4"/>
      <c r="I166" s="4" t="s">
        <v>172</v>
      </c>
      <c r="J166" s="4"/>
      <c r="K166" s="4" t="s">
        <v>173</v>
      </c>
      <c r="L166" s="4"/>
      <c r="M166" s="5" t="s">
        <v>174</v>
      </c>
    </row>
    <row r="167" spans="1:13" x14ac:dyDescent="0.3">
      <c r="A167" s="4">
        <f>PI()*E164^3/16-F164*G164*(E164-G164)^2/2/E164</f>
        <v>1855.0935473276436</v>
      </c>
      <c r="B167" s="4"/>
      <c r="C167" s="4">
        <f>PI()*E164^3/32-F164*G164*(E164-G164)^2/2/E164</f>
        <v>809.72859184563993</v>
      </c>
      <c r="D167" s="4"/>
      <c r="E167" s="4">
        <f>A144*1000/2/A167</f>
        <v>33.538327182919787</v>
      </c>
      <c r="F167" s="4"/>
      <c r="G167" s="4">
        <f>M164/C167</f>
        <v>62.089020199000331</v>
      </c>
      <c r="H167" s="4"/>
      <c r="I167" s="4">
        <f>E161/(I161/M161*E167+A164*E167)</f>
        <v>3.8668595273901079</v>
      </c>
      <c r="J167" s="4"/>
      <c r="K167" s="4">
        <f>C161/(G161/K161*G167)</f>
        <v>4.248702137084714</v>
      </c>
      <c r="L167" s="4"/>
      <c r="M167" s="5">
        <f>K167*I167/SQRT(I167^2+K167^2)</f>
        <v>2.8597687416068953</v>
      </c>
    </row>
    <row r="168" spans="1:13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3">
      <c r="A169" s="1" t="s">
        <v>178</v>
      </c>
      <c r="B169" s="1"/>
      <c r="C169" s="1" t="s">
        <v>179</v>
      </c>
      <c r="E169" s="4" t="s">
        <v>170</v>
      </c>
      <c r="F169" s="4"/>
      <c r="G169" s="4" t="s">
        <v>171</v>
      </c>
      <c r="I169" s="2" t="s">
        <v>180</v>
      </c>
      <c r="K169" s="2" t="s">
        <v>181</v>
      </c>
      <c r="M169" s="2" t="s">
        <v>163</v>
      </c>
    </row>
    <row r="170" spans="1:13" x14ac:dyDescent="0.3">
      <c r="A170" s="2">
        <v>1.7</v>
      </c>
      <c r="C170" s="2">
        <v>1.6</v>
      </c>
      <c r="E170" s="2">
        <v>0.1</v>
      </c>
      <c r="G170" s="2">
        <v>0.15</v>
      </c>
      <c r="I170" s="2">
        <f>I127*F127</f>
        <v>93675</v>
      </c>
      <c r="K170" s="2">
        <f>PI()*B110^3/32</f>
        <v>1533.9807878856411</v>
      </c>
      <c r="M170" s="2">
        <f>I170/K170</f>
        <v>61.06660574876998</v>
      </c>
    </row>
    <row r="172" spans="1:13" x14ac:dyDescent="0.3">
      <c r="A172" s="2" t="s">
        <v>182</v>
      </c>
      <c r="C172" s="2" t="s">
        <v>162</v>
      </c>
      <c r="E172" s="2" t="s">
        <v>173</v>
      </c>
      <c r="G172" s="2" t="s">
        <v>183</v>
      </c>
      <c r="I172" s="5" t="s">
        <v>174</v>
      </c>
      <c r="K172" s="5" t="s">
        <v>184</v>
      </c>
    </row>
    <row r="173" spans="1:13" x14ac:dyDescent="0.3">
      <c r="A173" s="2">
        <f>2*K170</f>
        <v>3067.9615757712822</v>
      </c>
      <c r="C173" s="2">
        <f>A144*1000/2/A173</f>
        <v>20.279502467222585</v>
      </c>
      <c r="E173" s="2">
        <f>C161/A170/M170</f>
        <v>3.230802092697493</v>
      </c>
      <c r="G173" s="2">
        <f>E161/(C170*C173+A164*C173)</f>
        <v>5.6426723693170633</v>
      </c>
      <c r="I173" s="5">
        <f>G173*E173/SQRT(E173^2+G173^2)</f>
        <v>2.8037470352825449</v>
      </c>
    </row>
    <row r="174" spans="1:13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3">
      <c r="A175" s="1" t="s">
        <v>166</v>
      </c>
      <c r="B175" s="1"/>
      <c r="C175" s="1" t="s">
        <v>167</v>
      </c>
      <c r="E175" s="1" t="s">
        <v>168</v>
      </c>
      <c r="G175" s="1" t="s">
        <v>169</v>
      </c>
      <c r="I175" s="2" t="s">
        <v>181</v>
      </c>
      <c r="K175" s="2" t="s">
        <v>157</v>
      </c>
      <c r="M175" s="2" t="s">
        <v>182</v>
      </c>
    </row>
    <row r="176" spans="1:13" x14ac:dyDescent="0.3">
      <c r="A176" s="2">
        <v>1.78</v>
      </c>
      <c r="C176" s="2">
        <v>1.68</v>
      </c>
      <c r="E176" s="2">
        <v>1.6</v>
      </c>
      <c r="G176" s="2">
        <v>1.4</v>
      </c>
      <c r="I176" s="2">
        <f>PI()*E164^3/32</f>
        <v>1045.3649554820036</v>
      </c>
      <c r="K176" s="2">
        <f>I170/I176</f>
        <v>89.609853007563018</v>
      </c>
      <c r="M176" s="2">
        <f>2*I176</f>
        <v>2090.7299109640071</v>
      </c>
    </row>
    <row r="178" spans="1:13" x14ac:dyDescent="0.3">
      <c r="A178" s="2" t="s">
        <v>162</v>
      </c>
      <c r="C178" s="2" t="s">
        <v>173</v>
      </c>
      <c r="E178" s="2" t="s">
        <v>183</v>
      </c>
      <c r="G178" s="5" t="s">
        <v>174</v>
      </c>
      <c r="I178" s="5" t="s">
        <v>187</v>
      </c>
    </row>
    <row r="179" spans="1:13" x14ac:dyDescent="0.3">
      <c r="A179" s="2">
        <f>A144*1000/2/M176</f>
        <v>29.758379606532017</v>
      </c>
      <c r="C179" s="2">
        <f>C161/(A176/E176*K176)</f>
        <v>3.3643972838787124</v>
      </c>
      <c r="E179" s="2">
        <f>E161/(C176/G176*A179)</f>
        <v>5.4475412352229204</v>
      </c>
      <c r="G179" s="5">
        <f>E179*C179/SQRT(C179^2+E179^2)</f>
        <v>2.8624836775138074</v>
      </c>
    </row>
    <row r="180" spans="1:13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3">
      <c r="A181" s="1" t="s">
        <v>166</v>
      </c>
      <c r="B181" s="1"/>
      <c r="C181" s="1" t="s">
        <v>167</v>
      </c>
      <c r="E181" s="1" t="s">
        <v>168</v>
      </c>
      <c r="G181" s="1" t="s">
        <v>169</v>
      </c>
      <c r="I181" s="2" t="s">
        <v>186</v>
      </c>
      <c r="K181" s="2" t="s">
        <v>185</v>
      </c>
    </row>
    <row r="182" spans="1:13" x14ac:dyDescent="0.3">
      <c r="A182" s="2">
        <v>1.78</v>
      </c>
      <c r="C182" s="2">
        <v>1.68</v>
      </c>
      <c r="E182" s="2">
        <v>0.92</v>
      </c>
      <c r="G182" s="2">
        <v>0.8</v>
      </c>
      <c r="I182" s="2">
        <f>B110</f>
        <v>25</v>
      </c>
      <c r="K182" s="2">
        <f>I127*I182</f>
        <v>62450</v>
      </c>
    </row>
    <row r="184" spans="1:13" x14ac:dyDescent="0.3">
      <c r="A184" s="2" t="s">
        <v>105</v>
      </c>
      <c r="B184" s="2" t="s">
        <v>156</v>
      </c>
      <c r="D184" s="2" t="s">
        <v>161</v>
      </c>
      <c r="F184" s="2" t="s">
        <v>157</v>
      </c>
      <c r="H184" s="2" t="s">
        <v>160</v>
      </c>
      <c r="J184" s="2" t="s">
        <v>162</v>
      </c>
      <c r="L184" s="2" t="s">
        <v>157</v>
      </c>
    </row>
    <row r="185" spans="1:13" x14ac:dyDescent="0.3">
      <c r="A185" s="2">
        <f>C144</f>
        <v>8</v>
      </c>
      <c r="B185" s="2">
        <f>F144</f>
        <v>4</v>
      </c>
      <c r="D185" s="2">
        <f>PI()*B144^3/32-A185*B185*(B144-B185)^2/2/B144</f>
        <v>1825.9897032197412</v>
      </c>
      <c r="F185" s="2">
        <f>K182/D185</f>
        <v>34.200630972826858</v>
      </c>
      <c r="H185" s="2">
        <f>PI()*B144^3/16-A185*B185*(B144-B185)^2/2/B144</f>
        <v>3981.1222635823392</v>
      </c>
      <c r="J185" s="2">
        <f>A144*1000/2/H185</f>
        <v>15.627938612770267</v>
      </c>
      <c r="L185" s="2">
        <f>C161/(A182/E182*F185)</f>
        <v>5.0687020694587952</v>
      </c>
    </row>
    <row r="187" spans="1:13" x14ac:dyDescent="0.3">
      <c r="A187" s="2" t="s">
        <v>183</v>
      </c>
      <c r="C187" s="5" t="s">
        <v>174</v>
      </c>
      <c r="E187" s="5" t="s">
        <v>188</v>
      </c>
    </row>
    <row r="188" spans="1:13" x14ac:dyDescent="0.3">
      <c r="A188" s="2">
        <f>E161/(C182/G182*J185+0.1*J185)</f>
        <v>5.6580486111828963</v>
      </c>
      <c r="C188" s="5">
        <f>A188*L185/SQRT(A188^2+L185^2)</f>
        <v>3.7753372911181553</v>
      </c>
    </row>
    <row r="189" spans="1:13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Artem</cp:lastModifiedBy>
  <dcterms:created xsi:type="dcterms:W3CDTF">2021-11-19T14:41:08Z</dcterms:created>
  <dcterms:modified xsi:type="dcterms:W3CDTF">2021-12-29T02:32:50Z</dcterms:modified>
</cp:coreProperties>
</file>